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135" windowHeight="9000" firstSheet="1" activeTab="1"/>
  </bookViews>
  <sheets>
    <sheet name="AWSN" sheetId="1" state="hidden" r:id="rId1"/>
    <sheet name="SFSN with spot" sheetId="2" r:id="rId2"/>
    <sheet name="SFSN stretched" sheetId="3" r:id="rId3"/>
    <sheet name="HCE with spot" sheetId="4" r:id="rId4"/>
    <sheet name="HCE stretched" sheetId="5" r:id="rId5"/>
    <sheet name="AWSN with spot " sheetId="6" state="hidden" r:id="rId6"/>
    <sheet name="AWSN stretched" sheetId="7" state="hidden" r:id="rId7"/>
  </sheets>
  <definedNames>
    <definedName name="ACServiceFee" localSheetId="6">'AWSN stretched'!$G$32</definedName>
    <definedName name="ACServiceFee" localSheetId="5">'AWSN with spot '!$G$32</definedName>
    <definedName name="ACServiceFee" localSheetId="4">'HCE stretched'!$G$32</definedName>
    <definedName name="ACServiceFee" localSheetId="3">'HCE with spot'!$G$33</definedName>
    <definedName name="ACServiceFee" localSheetId="2">'SFSN stretched'!$G$32</definedName>
    <definedName name="ACServiceFee" localSheetId="1">'SFSN with spot'!$G$33</definedName>
    <definedName name="ACServiceFee">'AWSN'!$G$31</definedName>
    <definedName name="Block" localSheetId="6">'AWSN stretched'!$B$7</definedName>
    <definedName name="Block" localSheetId="5">'AWSN with spot '!$B$7</definedName>
    <definedName name="Block" localSheetId="4">'HCE stretched'!$B$7</definedName>
    <definedName name="Block" localSheetId="3">'HCE with spot'!$B$7</definedName>
    <definedName name="Block" localSheetId="2">'SFSN stretched'!$B$7</definedName>
    <definedName name="Block" localSheetId="1">'SFSN with spot'!$B$7</definedName>
    <definedName name="Block">'AWSN'!$B$6</definedName>
    <definedName name="BookingDiscount" localSheetId="6">'AWSN stretched'!$G$20</definedName>
    <definedName name="BookingDiscount" localSheetId="5">'AWSN with spot '!$G$20</definedName>
    <definedName name="BookingDiscount" localSheetId="4">'HCE stretched'!$G$20</definedName>
    <definedName name="BookingDiscount" localSheetId="3">'HCE with spot'!$G$21</definedName>
    <definedName name="BookingDiscount" localSheetId="2">'SFSN stretched'!$G$20</definedName>
    <definedName name="BookingDiscount" localSheetId="1">'SFSN with spot'!$G$20</definedName>
    <definedName name="BookingDiscount">'AWSN'!$G$19</definedName>
    <definedName name="BulkDiscount" localSheetId="6">'AWSN stretched'!$G$23</definedName>
    <definedName name="BulkDiscount" localSheetId="5">'AWSN with spot '!$G$23</definedName>
    <definedName name="BulkDiscount" localSheetId="4">'HCE stretched'!$G$23</definedName>
    <definedName name="BulkDiscount" localSheetId="3">'HCE with spot'!$G$24</definedName>
    <definedName name="BulkDiscount" localSheetId="2">'SFSN stretched'!$G$23</definedName>
    <definedName name="BulkDiscount" localSheetId="1">'SFSN with spot'!$G$24</definedName>
    <definedName name="BulkDiscount">'AWSN'!$G$22</definedName>
    <definedName name="CommittedSalesDiscount" localSheetId="6">'AWSN stretched'!$G$19</definedName>
    <definedName name="CommittedSalesDiscount" localSheetId="5">'AWSN with spot '!$G$19</definedName>
    <definedName name="CommittedSalesDiscount" localSheetId="4">'HCE stretched'!$G$19</definedName>
    <definedName name="CommittedSalesDiscount" localSheetId="3">'HCE with spot'!$G$19</definedName>
    <definedName name="CommittedSalesDiscount" localSheetId="2">'SFSN stretched'!$G$19</definedName>
    <definedName name="CommittedSalesDiscount" localSheetId="1">'SFSN with spot'!$G$19</definedName>
    <definedName name="CommittedSalesDiscount">'AWSN'!$G$18</definedName>
    <definedName name="Discount1Desc" localSheetId="6">'AWSN stretched'!$B$25</definedName>
    <definedName name="Discount1Desc" localSheetId="5">'AWSN with spot '!$B$25</definedName>
    <definedName name="Discount1Desc" localSheetId="4">'HCE stretched'!$B$25</definedName>
    <definedName name="Discount1Desc" localSheetId="3">'HCE with spot'!$B$26</definedName>
    <definedName name="Discount1Desc" localSheetId="2">'SFSN stretched'!$B$25</definedName>
    <definedName name="Discount1Desc" localSheetId="1">'SFSN with spot'!$B$26</definedName>
    <definedName name="Discount1Desc">'AWSN'!$B$24</definedName>
    <definedName name="Discount1Value" localSheetId="6">'AWSN stretched'!$G$25</definedName>
    <definedName name="Discount1Value" localSheetId="5">'AWSN with spot '!$G$25</definedName>
    <definedName name="Discount1Value" localSheetId="4">'HCE stretched'!$G$25</definedName>
    <definedName name="Discount1Value" localSheetId="3">'HCE with spot'!$G$26</definedName>
    <definedName name="Discount1Value" localSheetId="2">'SFSN stretched'!$G$25</definedName>
    <definedName name="Discount1Value" localSheetId="1">'SFSN with spot'!$G$26</definedName>
    <definedName name="Discount1Value">'AWSN'!$G$24</definedName>
    <definedName name="Discount2Desc" localSheetId="6">'AWSN stretched'!$B$26</definedName>
    <definedName name="Discount2Desc" localSheetId="5">'AWSN with spot '!$B$26</definedName>
    <definedName name="Discount2Desc" localSheetId="4">'HCE stretched'!$B$26</definedName>
    <definedName name="Discount2Desc" localSheetId="3">'HCE with spot'!$B$27</definedName>
    <definedName name="Discount2Desc" localSheetId="2">'SFSN stretched'!$B$26</definedName>
    <definedName name="Discount2Desc" localSheetId="1">'SFSN with spot'!$B$27</definedName>
    <definedName name="Discount2Desc">'AWSN'!$B$25</definedName>
    <definedName name="Discount2Value" localSheetId="6">'AWSN stretched'!$G$26</definedName>
    <definedName name="Discount2Value" localSheetId="5">'AWSN with spot '!$G$26</definedName>
    <definedName name="Discount2Value" localSheetId="4">'HCE stretched'!$G$26</definedName>
    <definedName name="Discount2Value" localSheetId="3">'HCE with spot'!$G$27</definedName>
    <definedName name="Discount2Value" localSheetId="2">'SFSN stretched'!$G$26</definedName>
    <definedName name="Discount2Value" localSheetId="1">'SFSN with spot'!$G$27</definedName>
    <definedName name="Discount2Value">'AWSN'!$G$25</definedName>
    <definedName name="Downpayment" localSheetId="6">'AWSN stretched'!$A$37</definedName>
    <definedName name="Downpayment" localSheetId="5">'AWSN with spot '!$A$37</definedName>
    <definedName name="Downpayment" localSheetId="4">'HCE stretched'!$A$37</definedName>
    <definedName name="Downpayment" localSheetId="3">'HCE with spot'!$A$38</definedName>
    <definedName name="Downpayment" localSheetId="2">'SFSN stretched'!$A$37</definedName>
    <definedName name="Downpayment" localSheetId="1">'SFSN with spot'!$A$38</definedName>
    <definedName name="Downpayment">'AWSN'!$A$36</definedName>
    <definedName name="DPDate" localSheetId="6">'AWSN stretched'!$F$45</definedName>
    <definedName name="DPDate" localSheetId="5">'AWSN with spot '!$F$45</definedName>
    <definedName name="DPDate" localSheetId="4">'HCE stretched'!$F$45</definedName>
    <definedName name="DPDate" localSheetId="3">'HCE with spot'!$F$46</definedName>
    <definedName name="DPDate" localSheetId="2">'SFSN stretched'!$F$45</definedName>
    <definedName name="DPDate" localSheetId="1">'SFSN with spot'!$F$46</definedName>
    <definedName name="DPDate">'AWSN'!$F$44</definedName>
    <definedName name="EmployeeDiscount" localSheetId="6">'AWSN stretched'!$G$22</definedName>
    <definedName name="EmployeeDiscount" localSheetId="5">'AWSN with spot '!$G$22</definedName>
    <definedName name="EmployeeDiscount" localSheetId="4">'HCE stretched'!$G$22</definedName>
    <definedName name="EmployeeDiscount" localSheetId="3">'HCE with spot'!$G$23</definedName>
    <definedName name="EmployeeDiscount" localSheetId="2">'SFSN stretched'!$G$22</definedName>
    <definedName name="EmployeeDiscount" localSheetId="1">'SFSN with spot'!$G$23</definedName>
    <definedName name="EmployeeDiscount">'AWSN'!$G$21</definedName>
    <definedName name="Finished" localSheetId="6">'AWSN stretched'!$G$10</definedName>
    <definedName name="Finished" localSheetId="5">'AWSN with spot '!$G$10</definedName>
    <definedName name="Finished" localSheetId="4">'HCE stretched'!#REF!</definedName>
    <definedName name="Finished" localSheetId="3">'HCE with spot'!$G$10</definedName>
    <definedName name="Finished" localSheetId="2">'SFSN stretched'!$G$10</definedName>
    <definedName name="Finished" localSheetId="1">'SFSN with spot'!$G$10</definedName>
    <definedName name="Finished">'AWSN'!$G$9</definedName>
    <definedName name="Floor">#REF!</definedName>
    <definedName name="FloorArea" localSheetId="6">'AWSN stretched'!$D$7</definedName>
    <definedName name="FloorArea" localSheetId="5">'AWSN with spot '!$D$7</definedName>
    <definedName name="FloorArea" localSheetId="4">'HCE stretched'!$D$7</definedName>
    <definedName name="FloorArea" localSheetId="3">'HCE with spot'!$D$7</definedName>
    <definedName name="FloorArea" localSheetId="2">'SFSN stretched'!$D$7</definedName>
    <definedName name="FloorArea" localSheetId="1">'SFSN with spot'!$D$7</definedName>
    <definedName name="FloorArea">'AWSN'!$D$6</definedName>
    <definedName name="Lot" localSheetId="6">'AWSN stretched'!#REF!</definedName>
    <definedName name="Lot" localSheetId="5">'AWSN with spot '!#REF!</definedName>
    <definedName name="Lot" localSheetId="4">'HCE stretched'!#REF!</definedName>
    <definedName name="Lot" localSheetId="3">'HCE with spot'!#REF!</definedName>
    <definedName name="Lot" localSheetId="2">'SFSN stretched'!#REF!</definedName>
    <definedName name="Lot" localSheetId="1">'SFSN with spot'!#REF!</definedName>
    <definedName name="Lot">'AWSN'!#REF!</definedName>
    <definedName name="LotArea" localSheetId="6">'AWSN stretched'!$C$7</definedName>
    <definedName name="LotArea" localSheetId="5">'AWSN with spot '!$C$7</definedName>
    <definedName name="LotArea" localSheetId="4">'HCE stretched'!$C$7</definedName>
    <definedName name="LotArea" localSheetId="3">'HCE with spot'!$C$7</definedName>
    <definedName name="LotArea" localSheetId="2">'SFSN stretched'!$C$7</definedName>
    <definedName name="LotArea" localSheetId="1">'SFSN with spot'!$C$7</definedName>
    <definedName name="LotArea">'AWSN'!$C$6</definedName>
    <definedName name="LumpOCDate" localSheetId="6">'AWSN stretched'!$B$28</definedName>
    <definedName name="LumpOCDate" localSheetId="5">'AWSN with spot '!$B$28</definedName>
    <definedName name="LumpOCDate" localSheetId="4">'HCE stretched'!$B$28</definedName>
    <definedName name="LumpOCDate" localSheetId="3">'HCE with spot'!$B$29</definedName>
    <definedName name="LumpOCDate" localSheetId="2">'SFSN stretched'!$B$28</definedName>
    <definedName name="LumpOCDate" localSheetId="1">'SFSN with spot'!$B$29</definedName>
    <definedName name="LumpOCDate">'AWSN'!$B$27</definedName>
    <definedName name="Mode" localSheetId="6">'AWSN stretched'!$A$5</definedName>
    <definedName name="Mode" localSheetId="5">'AWSN with spot '!$A$5</definedName>
    <definedName name="Mode" localSheetId="4">'HCE stretched'!$A$5</definedName>
    <definedName name="Mode" localSheetId="3">'HCE with spot'!$A$5</definedName>
    <definedName name="Mode" localSheetId="2">'SFSN stretched'!$A$5</definedName>
    <definedName name="Mode" localSheetId="1">'SFSN with spot'!$A$5</definedName>
    <definedName name="Mode">'AWSN'!$A$4</definedName>
    <definedName name="Model" localSheetId="6">'AWSN stretched'!$F$7</definedName>
    <definedName name="Model" localSheetId="5">'AWSN with spot '!$F$7</definedName>
    <definedName name="Model" localSheetId="4">'HCE stretched'!$F$7</definedName>
    <definedName name="Model" localSheetId="3">'HCE with spot'!$F$7</definedName>
    <definedName name="Model" localSheetId="2">'SFSN stretched'!$F$7</definedName>
    <definedName name="Model" localSheetId="1">'SFSN with spot'!$F$7</definedName>
    <definedName name="Model">'AWSN'!$F$6</definedName>
    <definedName name="NoDPSchedule" localSheetId="6">'AWSN stretched'!$A$51</definedName>
    <definedName name="NoDPSchedule" localSheetId="5">'AWSN with spot '!$A$51</definedName>
    <definedName name="NoDPSchedule" localSheetId="4">'HCE stretched'!$A$51</definedName>
    <definedName name="NoDPSchedule" localSheetId="3">'HCE with spot'!$A$52</definedName>
    <definedName name="NoDPSchedule" localSheetId="2">'SFSN stretched'!$A$51</definedName>
    <definedName name="NoDPSchedule" localSheetId="1">'SFSN with spot'!$A$52</definedName>
    <definedName name="NoDPSchedule">'AWSN'!$A$50</definedName>
    <definedName name="OtherBSDiscount" localSheetId="6">'AWSN stretched'!$G$21</definedName>
    <definedName name="OtherBSDiscount" localSheetId="5">'AWSN with spot '!$G$21</definedName>
    <definedName name="OtherBSDiscount" localSheetId="4">'HCE stretched'!$G$21</definedName>
    <definedName name="OtherBSDiscount" localSheetId="3">'HCE with spot'!$G$22</definedName>
    <definedName name="OtherBSDiscount" localSheetId="2">'SFSN stretched'!$G$21</definedName>
    <definedName name="OtherBSDiscount" localSheetId="1">'SFSN with spot'!$G$22</definedName>
    <definedName name="OtherBSDiscount">'AWSN'!$G$20</definedName>
    <definedName name="OtherChargesPercentage" localSheetId="6">'AWSN stretched'!$A$30</definedName>
    <definedName name="OtherChargesPercentage" localSheetId="5">'AWSN with spot '!$A$30</definedName>
    <definedName name="OtherChargesPercentage" localSheetId="4">'HCE stretched'!$A$30</definedName>
    <definedName name="OtherChargesPercentage" localSheetId="3">'HCE with spot'!$A$31</definedName>
    <definedName name="OtherChargesPercentage" localSheetId="2">'SFSN stretched'!$A$30</definedName>
    <definedName name="OtherChargesPercentage" localSheetId="1">'SFSN with spot'!$A$31</definedName>
    <definedName name="OtherChargesPercentage">'AWSN'!$A$29</definedName>
    <definedName name="OtherDiscount" localSheetId="6">'AWSN stretched'!$G$24</definedName>
    <definedName name="OtherDiscount" localSheetId="5">'AWSN with spot '!$G$24</definedName>
    <definedName name="OtherDiscount" localSheetId="4">'HCE stretched'!$G$24</definedName>
    <definedName name="OtherDiscount" localSheetId="3">'HCE with spot'!$G$25</definedName>
    <definedName name="OtherDiscount" localSheetId="2">'SFSN stretched'!$G$24</definedName>
    <definedName name="OtherDiscount" localSheetId="1">'SFSN with spot'!$G$25</definedName>
    <definedName name="OtherDiscount">'AWSN'!$G$23</definedName>
    <definedName name="OtherRSDiscount" localSheetId="6">'AWSN stretched'!$G$18</definedName>
    <definedName name="OtherRSDiscount" localSheetId="5">'AWSN with spot '!$G$18</definedName>
    <definedName name="OtherRSDiscount" localSheetId="4">'HCE stretched'!$G$18</definedName>
    <definedName name="OtherRSDiscount" localSheetId="3">'HCE with spot'!$G$18</definedName>
    <definedName name="OtherRSDiscount" localSheetId="2">'SFSN stretched'!$G$18</definedName>
    <definedName name="OtherRSDiscount" localSheetId="1">'SFSN with spot'!$G$18</definedName>
    <definedName name="OtherRSDiscount">'AWSN'!$G$17</definedName>
    <definedName name="Payee" localSheetId="6">'AWSN stretched'!$A$65</definedName>
    <definedName name="Payee" localSheetId="5">'AWSN with spot '!$A$105</definedName>
    <definedName name="Payee" localSheetId="4">'HCE stretched'!$A$65</definedName>
    <definedName name="Payee" localSheetId="3">'HCE with spot'!$A$106</definedName>
    <definedName name="Payee" localSheetId="2">'SFSN stretched'!$A$65</definedName>
    <definedName name="Payee" localSheetId="1">'SFSN with spot'!$A$106</definedName>
    <definedName name="Payee">'AWSN'!$A$104</definedName>
    <definedName name="PercentageDiscount" localSheetId="6">'AWSN stretched'!$A$16</definedName>
    <definedName name="PercentageDiscount" localSheetId="5">'AWSN with spot '!$A$16</definedName>
    <definedName name="PercentageDiscount" localSheetId="4">'HCE stretched'!$A$16</definedName>
    <definedName name="PercentageDiscount" localSheetId="3">'HCE with spot'!$A$16</definedName>
    <definedName name="PercentageDiscount" localSheetId="2">'SFSN stretched'!$A$16</definedName>
    <definedName name="PercentageDiscount" localSheetId="1">'SFSN with spot'!$A$16</definedName>
    <definedName name="PercentageDiscount">'AWSN'!$A$15</definedName>
    <definedName name="Phase" localSheetId="6">'AWSN stretched'!$A$7</definedName>
    <definedName name="Phase" localSheetId="5">'AWSN with spot '!$A$7</definedName>
    <definedName name="Phase" localSheetId="4">'HCE stretched'!$A$7</definedName>
    <definedName name="Phase" localSheetId="3">'HCE with spot'!$A$7</definedName>
    <definedName name="Phase" localSheetId="2">'SFSN stretched'!$A$7</definedName>
    <definedName name="Phase" localSheetId="1">'SFSN with spot'!$A$7</definedName>
    <definedName name="Phase">'AWSN'!$A$6</definedName>
    <definedName name="_xlnm.Print_Area" localSheetId="6">'AWSN stretched'!$A$1:$M$65</definedName>
    <definedName name="_xlnm.Print_Area" localSheetId="5">'AWSN with spot '!$A$1:$M$105</definedName>
    <definedName name="_xlnm.Print_Area" localSheetId="4">'HCE stretched'!$A$1:$M$65</definedName>
    <definedName name="_xlnm.Print_Area" localSheetId="3">'HCE with spot'!$A$1:$M$106</definedName>
    <definedName name="_xlnm.Print_Area" localSheetId="2">'SFSN stretched'!$A$1:$M$65</definedName>
    <definedName name="_xlnm.Print_Area" localSheetId="1">'SFSN with spot'!$A$1:$M$106</definedName>
    <definedName name="ProjectDateCompletion" localSheetId="6">'AWSN stretched'!$G$6</definedName>
    <definedName name="ProjectDateCompletion" localSheetId="5">'AWSN with spot '!$G$6</definedName>
    <definedName name="ProjectDateCompletion" localSheetId="4">'HCE stretched'!$G$6</definedName>
    <definedName name="ProjectDateCompletion" localSheetId="3">'HCE with spot'!$G$6</definedName>
    <definedName name="ProjectDateCompletion" localSheetId="2">'SFSN stretched'!$G$6</definedName>
    <definedName name="ProjectDateCompletion" localSheetId="1">'SFSN with spot'!$G$6</definedName>
    <definedName name="ProjectDateCompletion">'AWSN'!$G$5</definedName>
    <definedName name="ProjectName" localSheetId="6">'AWSN stretched'!$A$4</definedName>
    <definedName name="ProjectName" localSheetId="5">'AWSN with spot '!$A$4</definedName>
    <definedName name="ProjectName" localSheetId="4">'HCE stretched'!$A$4</definedName>
    <definedName name="ProjectName" localSheetId="3">'HCE with spot'!$A$4</definedName>
    <definedName name="ProjectName" localSheetId="2">'SFSN stretched'!$A$4</definedName>
    <definedName name="ProjectName" localSheetId="1">'SFSN with spot'!$A$4</definedName>
    <definedName name="ProjectName">'AWSN'!$A$3</definedName>
    <definedName name="ReservationDate" localSheetId="6">'AWSN stretched'!$F$40</definedName>
    <definedName name="ReservationDate" localSheetId="5">'AWSN with spot '!$F$40</definedName>
    <definedName name="ReservationDate" localSheetId="4">'HCE stretched'!$F$40</definedName>
    <definedName name="ReservationDate" localSheetId="3">'HCE with spot'!$F$41</definedName>
    <definedName name="ReservationDate" localSheetId="2">'SFSN stretched'!$F$40</definedName>
    <definedName name="ReservationDate" localSheetId="1">'SFSN with spot'!$F$41</definedName>
    <definedName name="ReservationDate">'AWSN'!$F$39</definedName>
    <definedName name="ReservationDiscount" localSheetId="6">'AWSN stretched'!$G$17</definedName>
    <definedName name="ReservationDiscount" localSheetId="5">'AWSN with spot '!$G$17</definedName>
    <definedName name="ReservationDiscount" localSheetId="4">'HCE stretched'!$G$17</definedName>
    <definedName name="ReservationDiscount" localSheetId="3">'HCE with spot'!$G$17</definedName>
    <definedName name="ReservationDiscount" localSheetId="2">'SFSN stretched'!$G$17</definedName>
    <definedName name="ReservationDiscount" localSheetId="1">'SFSN with spot'!$G$17</definedName>
    <definedName name="ReservationDiscount">'AWSN'!$G$16</definedName>
    <definedName name="ReservationFee" localSheetId="6">'AWSN stretched'!$G$40</definedName>
    <definedName name="ReservationFee" localSheetId="5">'AWSN with spot '!$G$40</definedName>
    <definedName name="ReservationFee" localSheetId="4">'HCE stretched'!$G$40</definedName>
    <definedName name="ReservationFee" localSheetId="3">'HCE with spot'!$G$41</definedName>
    <definedName name="ReservationFee" localSheetId="2">'SFSN stretched'!$G$40</definedName>
    <definedName name="ReservationFee" localSheetId="1">'SFSN with spot'!$G$41</definedName>
    <definedName name="ReservationFee">'AWSN'!$G$39</definedName>
    <definedName name="SellingPrice" localSheetId="6">'AWSN stretched'!$G$14</definedName>
    <definedName name="SellingPrice" localSheetId="5">'AWSN with spot '!$G$14</definedName>
    <definedName name="SellingPrice" localSheetId="4">'HCE stretched'!$G$14</definedName>
    <definedName name="SellingPrice" localSheetId="3">'HCE with spot'!$G$14</definedName>
    <definedName name="SellingPrice" localSheetId="2">'SFSN stretched'!$G$14</definedName>
    <definedName name="SellingPrice" localSheetId="1">'SFSN with spot'!$G$14</definedName>
    <definedName name="SellingPrice">'AWSN'!$G$13</definedName>
    <definedName name="ServiceFee" localSheetId="6">'AWSN stretched'!$G$31</definedName>
    <definedName name="ServiceFee" localSheetId="5">'AWSN with spot '!$G$31</definedName>
    <definedName name="ServiceFee" localSheetId="4">'HCE stretched'!$G$31</definedName>
    <definedName name="ServiceFee" localSheetId="3">'HCE with spot'!$G$32</definedName>
    <definedName name="ServiceFee" localSheetId="2">'SFSN stretched'!$G$31</definedName>
    <definedName name="ServiceFee" localSheetId="1">'SFSN with spot'!$G$32</definedName>
    <definedName name="ServiceFee">'AWSN'!$G$30</definedName>
    <definedName name="SpotDownpayment" localSheetId="6">'AWSN stretched'!$A$43</definedName>
    <definedName name="SpotDownpayment" localSheetId="5">'AWSN with spot '!$A$43</definedName>
    <definedName name="SpotDownpayment" localSheetId="4">'HCE stretched'!$A$43</definedName>
    <definedName name="SpotDownpayment" localSheetId="3">'HCE with spot'!$A$44</definedName>
    <definedName name="SpotDownpayment" localSheetId="2">'SFSN stretched'!$A$43</definedName>
    <definedName name="SpotDownpayment" localSheetId="1">'SFSN with spot'!$A$44</definedName>
    <definedName name="SpotDownpayment">'AWSN'!$A$42</definedName>
    <definedName name="StandardDiscount" localSheetId="6">'AWSN stretched'!$G$16</definedName>
    <definedName name="StandardDiscount" localSheetId="5">'AWSN with spot '!$G$16</definedName>
    <definedName name="StandardDiscount" localSheetId="4">'HCE stretched'!$G$16</definedName>
    <definedName name="StandardDiscount" localSheetId="3">'HCE with spot'!$G$16</definedName>
    <definedName name="StandardDiscount" localSheetId="2">'SFSN stretched'!$G$16</definedName>
    <definedName name="StandardDiscount" localSheetId="1">'SFSN with spot'!$G$16</definedName>
    <definedName name="StandardDiscount">'AWSN'!$G$15</definedName>
    <definedName name="TotalOtherCharges" localSheetId="6">'AWSN stretched'!$G$30</definedName>
    <definedName name="TotalOtherCharges" localSheetId="5">'AWSN with spot '!$G$30</definedName>
    <definedName name="TotalOtherCharges" localSheetId="4">'HCE stretched'!$G$30</definedName>
    <definedName name="TotalOtherCharges" localSheetId="3">'HCE with spot'!$G$31</definedName>
    <definedName name="TotalOtherCharges" localSheetId="2">'SFSN stretched'!$G$30</definedName>
    <definedName name="TotalOtherCharges" localSheetId="1">'SFSN with spot'!$G$31</definedName>
    <definedName name="TotalOtherCharges">'AWSN'!$G$29</definedName>
    <definedName name="Tower">#REF!</definedName>
    <definedName name="Unit">#REF!</definedName>
  </definedNames>
  <calcPr fullCalcOnLoad="1"/>
</workbook>
</file>

<file path=xl/sharedStrings.xml><?xml version="1.0" encoding="utf-8"?>
<sst xmlns="http://schemas.openxmlformats.org/spreadsheetml/2006/main" count="611" uniqueCount="126">
  <si>
    <t>AVIDA LAND CORP.</t>
  </si>
  <si>
    <t>CUSTOMER SERVICE UNIT</t>
  </si>
  <si>
    <t>AVIDA WOODHILL SETTINGS NUVALI</t>
  </si>
  <si>
    <t>SAMPLE COMPUTATION ONLY</t>
  </si>
  <si>
    <t>Phase</t>
  </si>
  <si>
    <t>Block</t>
  </si>
  <si>
    <t>Lot</t>
  </si>
  <si>
    <t>Lot Area</t>
  </si>
  <si>
    <t>Floor Area</t>
  </si>
  <si>
    <t>Model</t>
  </si>
  <si>
    <t>LOT ONLY</t>
  </si>
  <si>
    <t>N/A</t>
  </si>
  <si>
    <t>SELLING PRICE</t>
  </si>
  <si>
    <t>P</t>
  </si>
  <si>
    <t>Less:</t>
  </si>
  <si>
    <t>VAT(if applicable)</t>
  </si>
  <si>
    <t>Reservation Discount</t>
  </si>
  <si>
    <t>Other RS Discount</t>
  </si>
  <si>
    <t>Commited Sales Discount</t>
  </si>
  <si>
    <t>Booking Sales Discount</t>
  </si>
  <si>
    <t>Other BS Discount</t>
  </si>
  <si>
    <t>Employee Discount</t>
  </si>
  <si>
    <t>Bulk Discount</t>
  </si>
  <si>
    <t>Other Discounts</t>
  </si>
  <si>
    <t>Discount 1</t>
  </si>
  <si>
    <t>Discount 2</t>
  </si>
  <si>
    <t>SELLING PRICE AFTER DISCOUNTS</t>
  </si>
  <si>
    <t>Add:</t>
  </si>
  <si>
    <t>Other Charges</t>
  </si>
  <si>
    <t>Service Fee</t>
  </si>
  <si>
    <t>AC Service Fee</t>
  </si>
  <si>
    <t xml:space="preserve">Other Charges </t>
  </si>
  <si>
    <t>TOTAL SELLING PRICE</t>
  </si>
  <si>
    <t>DOWNPAYMENT</t>
  </si>
  <si>
    <t>Total Other Charges &amp; Fees</t>
  </si>
  <si>
    <t>TOTAL REQUIRED DOWNPAYMENT</t>
  </si>
  <si>
    <t>Reservation Fee</t>
  </si>
  <si>
    <t>SCHEDULE OF DOWNPAYMENT AND OTHERS CHARGES</t>
  </si>
  <si>
    <t>Months Schedule</t>
  </si>
  <si>
    <t>Due Date</t>
  </si>
  <si>
    <t>Monthly Payment</t>
  </si>
  <si>
    <t>Total Monthly Payment</t>
  </si>
  <si>
    <t>2nd Downpayment due on</t>
  </si>
  <si>
    <t>3rd Downpayment due on</t>
  </si>
  <si>
    <t>4th Downpayment due on</t>
  </si>
  <si>
    <t>5th Downpayment due on</t>
  </si>
  <si>
    <t>6th Downpayment due on</t>
  </si>
  <si>
    <t>7th Downpayment due on</t>
  </si>
  <si>
    <t>8th Downpayment due on</t>
  </si>
  <si>
    <t>9th Downpayment due on</t>
  </si>
  <si>
    <t>10th Downpayment due on</t>
  </si>
  <si>
    <t>11th Downpayment due on</t>
  </si>
  <si>
    <t>12th Downpayment due on</t>
  </si>
  <si>
    <t>13th Downpayment due on</t>
  </si>
  <si>
    <t>14th Downpayment due on</t>
  </si>
  <si>
    <t>15th Downpayment due on</t>
  </si>
  <si>
    <t>16th Downpayment due on</t>
  </si>
  <si>
    <t>17th Downpayment due on</t>
  </si>
  <si>
    <t>18th Downpayment due on</t>
  </si>
  <si>
    <t>19th Downpayment due on</t>
  </si>
  <si>
    <t>20th Downpayment due on</t>
  </si>
  <si>
    <t>21st Downpayment due on</t>
  </si>
  <si>
    <t>22nd Downpayment due on</t>
  </si>
  <si>
    <t>23rd Downpayment due on</t>
  </si>
  <si>
    <t>24th Downpayment due on</t>
  </si>
  <si>
    <t>25th Downpayment due on</t>
  </si>
  <si>
    <t>26th Downpayment due on</t>
  </si>
  <si>
    <t>27th Downpayment due on</t>
  </si>
  <si>
    <t>28th Downpayment due on</t>
  </si>
  <si>
    <t>29th Downpayment due on</t>
  </si>
  <si>
    <t>30th Downpayment due on</t>
  </si>
  <si>
    <t>31st Downpayment due on</t>
  </si>
  <si>
    <t>32nd Downpayment due on</t>
  </si>
  <si>
    <t>33rd Downpayment due on</t>
  </si>
  <si>
    <t>34th Downpayment due on</t>
  </si>
  <si>
    <t>35th Downpayment due on</t>
  </si>
  <si>
    <t>36th Downpayment due on</t>
  </si>
  <si>
    <t>PAYMENT SCHEDULE: BALANCE</t>
  </si>
  <si>
    <t>NOTE:</t>
  </si>
  <si>
    <t>1.  In the event that there is an increase in the amount of OTHER CHARGES, the SELLER shall have the</t>
  </si>
  <si>
    <t xml:space="preserve">     right to charge the PURCHASER, and the PURCHASER agrees to pay, an amount proportional to or</t>
  </si>
  <si>
    <t xml:space="preserve">     corresponding to the said increase.</t>
  </si>
  <si>
    <t>2.  Discounts are subject to change based on the timing of submission of basic booking documents and payments.</t>
  </si>
  <si>
    <t>3.  All checks should be made payable to AVIDA LAND CORP..</t>
  </si>
  <si>
    <t>CELENA</t>
  </si>
  <si>
    <t>MAIA</t>
  </si>
  <si>
    <t>THEA</t>
  </si>
  <si>
    <t>Monthly downpayment schedule</t>
  </si>
  <si>
    <t>THRU BANK INSTUTION</t>
  </si>
  <si>
    <t>5 YRS</t>
  </si>
  <si>
    <t>10 YRS</t>
  </si>
  <si>
    <t>15 YRS</t>
  </si>
  <si>
    <t>BANK AMORTIZATION (Indicative Only)</t>
  </si>
  <si>
    <t>Total Streched DP and Other Charges</t>
  </si>
  <si>
    <t>Total Spot DP and Other Charges</t>
  </si>
  <si>
    <t>DAPHNE</t>
  </si>
  <si>
    <t>HILLCREST ESTATES NUVALI</t>
  </si>
  <si>
    <t>RS Sep 1-30, submit docs in 30 days</t>
  </si>
  <si>
    <t>submit docs in 20 days</t>
  </si>
  <si>
    <t>RS until Sep 21 and submit docs until Sep 21</t>
  </si>
  <si>
    <t>SAMPLE COMPUTATION WITH 10% SPOT DOWN PAYMENT</t>
  </si>
  <si>
    <t>TRISTA</t>
  </si>
  <si>
    <t>AVIDA SOUTHFIELD SETTINGS NUVALI</t>
  </si>
  <si>
    <t>10% Spot DP</t>
  </si>
  <si>
    <t>Total Monthly Payment (20% of Selling Price)</t>
  </si>
  <si>
    <t>PAYMENT TERM AND DISCOUNT UNTIL MARCH ONLY</t>
  </si>
  <si>
    <t>20% Discount on 10% SFDP</t>
  </si>
  <si>
    <t>30 Monthly DP  (LOT) / 12 Monthly DP (H&amp;L)</t>
  </si>
  <si>
    <t>SAMPLE COMPUTATION - 20% DP 80% BAL. BANK</t>
  </si>
  <si>
    <t>10% Discount on 10% SFDP</t>
  </si>
  <si>
    <t>Another 10% in 12 Monthly DP  (LOT) / 12 Monthly DP (H&amp;L)</t>
  </si>
  <si>
    <t>JASMINE</t>
  </si>
  <si>
    <t>8A</t>
  </si>
  <si>
    <t>Booking Discount</t>
  </si>
  <si>
    <t>CHLOE</t>
  </si>
  <si>
    <t>docs &amp; payment must submitted 20 days from RS date</t>
  </si>
  <si>
    <t>Spot DP must be dated 4/13/19</t>
  </si>
  <si>
    <t>31A</t>
  </si>
  <si>
    <t xml:space="preserve">Lot only 12 months /H&amp;L 18 months </t>
  </si>
  <si>
    <t xml:space="preserve">H&amp;L 18 months </t>
  </si>
  <si>
    <t xml:space="preserve">HOLLY </t>
  </si>
  <si>
    <t>docs &amp; payment must submitted until Sep 16</t>
  </si>
  <si>
    <t>CELINE S2</t>
  </si>
  <si>
    <t>MACY S2</t>
  </si>
  <si>
    <t>TRISTA S2</t>
  </si>
  <si>
    <t xml:space="preserve">Lot only 18 months /H&amp;L 18 months </t>
  </si>
</sst>
</file>

<file path=xl/styles.xml><?xml version="1.0" encoding="utf-8"?>
<styleSheet xmlns="http://schemas.openxmlformats.org/spreadsheetml/2006/main">
  <numFmts count="3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;;;"/>
    <numFmt numFmtId="177" formatCode="[$-3409]dd\-mmm\-yy;@"/>
    <numFmt numFmtId="178" formatCode="_(* #,##0.000000000_);_(* \(#,##0.000000000\);_(* &quot;-&quot;??_);_(@_)"/>
    <numFmt numFmtId="179" formatCode="_(\P\ #,##0.00_);_(\P\ \(#,##0.00\);_(\P\ &quot;-&quot;??_);_(@_)"/>
    <numFmt numFmtId="180" formatCode="_(\P* #,##0_);_(\P* \(#,##0\);_(\P* &quot;-&quot;_);_(@_)"/>
    <numFmt numFmtId="181" formatCode="[$-409]dd\-mmm\-yy;@"/>
    <numFmt numFmtId="182" formatCode="_(\P* #,##0.00_);_(\P* \(#,##0.00\);_(\P* &quot;-&quot;??_);_(@_)"/>
    <numFmt numFmtId="183" formatCode="[$-3409]dddd\,\ mmmm\ dd\,\ yyyy"/>
    <numFmt numFmtId="184" formatCode="[$-409]h:mm:ss\ AM/PM"/>
    <numFmt numFmtId="185" formatCode="_(* #,##0.00000000_);_(* \(#,##0.00000000\);_(* &quot;-&quot;????????_);_(@_)"/>
    <numFmt numFmtId="186" formatCode="_(* #,##0.0000000_);_(* \(#,##0.0000000\);_(* &quot;-&quot;???????_);_(@_)"/>
    <numFmt numFmtId="187" formatCode="0.0000000000"/>
    <numFmt numFmtId="188" formatCode="_(* #,##0.0000000000_);_(* \(#,##0.0000000000\);_(* &quot;-&quot;??????????_);_(@_)"/>
  </numFmts>
  <fonts count="59">
    <font>
      <sz val="10"/>
      <color indexed="8"/>
      <name val="Courier New"/>
      <family val="0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20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name val="Arial"/>
      <family val="2"/>
    </font>
    <font>
      <b/>
      <sz val="7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 New"/>
      <family val="3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Courier New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 New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 New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176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176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43" fontId="5" fillId="33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43" fontId="6" fillId="0" borderId="0" xfId="0" applyNumberFormat="1" applyFont="1" applyFill="1" applyBorder="1" applyAlignment="1" applyProtection="1">
      <alignment horizontal="right"/>
      <protection/>
    </xf>
    <xf numFmtId="43" fontId="6" fillId="0" borderId="0" xfId="0" applyNumberFormat="1" applyFont="1" applyFill="1" applyBorder="1" applyAlignment="1" applyProtection="1">
      <alignment/>
      <protection/>
    </xf>
    <xf numFmtId="43" fontId="5" fillId="0" borderId="0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Border="1" applyAlignment="1" applyProtection="1">
      <alignment/>
      <protection/>
    </xf>
    <xf numFmtId="43" fontId="5" fillId="33" borderId="1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7" fontId="6" fillId="0" borderId="0" xfId="0" applyNumberFormat="1" applyFont="1" applyFill="1" applyBorder="1" applyAlignment="1" applyProtection="1">
      <alignment horizontal="center"/>
      <protection/>
    </xf>
    <xf numFmtId="177" fontId="6" fillId="33" borderId="0" xfId="0" applyNumberFormat="1" applyFont="1" applyFill="1" applyBorder="1" applyAlignment="1" applyProtection="1">
      <alignment horizontal="center"/>
      <protection/>
    </xf>
    <xf numFmtId="179" fontId="5" fillId="0" borderId="10" xfId="0" applyNumberFormat="1" applyFont="1" applyFill="1" applyBorder="1" applyAlignment="1" applyProtection="1">
      <alignment/>
      <protection/>
    </xf>
    <xf numFmtId="18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right" indent="2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43" fontId="6" fillId="0" borderId="0" xfId="0" applyNumberFormat="1" applyFont="1" applyFill="1" applyBorder="1" applyAlignment="1" applyProtection="1">
      <alignment horizontal="center"/>
      <protection/>
    </xf>
    <xf numFmtId="181" fontId="6" fillId="0" borderId="0" xfId="0" applyNumberFormat="1" applyFont="1" applyFill="1" applyBorder="1" applyAlignment="1" applyProtection="1">
      <alignment horizontal="center"/>
      <protection/>
    </xf>
    <xf numFmtId="182" fontId="5" fillId="0" borderId="0" xfId="0" applyNumberFormat="1" applyFont="1" applyFill="1" applyBorder="1" applyAlignment="1" applyProtection="1">
      <alignment horizontal="right"/>
      <protection/>
    </xf>
    <xf numFmtId="0" fontId="5" fillId="18" borderId="0" xfId="0" applyNumberFormat="1" applyFont="1" applyFill="1" applyBorder="1" applyAlignment="1" applyProtection="1">
      <alignment horizontal="center"/>
      <protection/>
    </xf>
    <xf numFmtId="0" fontId="5" fillId="17" borderId="0" xfId="0" applyNumberFormat="1" applyFont="1" applyFill="1" applyBorder="1" applyAlignment="1" applyProtection="1">
      <alignment horizontal="center"/>
      <protection/>
    </xf>
    <xf numFmtId="0" fontId="5" fillId="16" borderId="0" xfId="0" applyNumberFormat="1" applyFont="1" applyFill="1" applyBorder="1" applyAlignment="1" applyProtection="1">
      <alignment horizontal="center"/>
      <protection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177" fontId="56" fillId="0" borderId="0" xfId="0" applyNumberFormat="1" applyFont="1" applyFill="1" applyBorder="1" applyAlignment="1" applyProtection="1">
      <alignment horizontal="center" vertical="center"/>
      <protection/>
    </xf>
    <xf numFmtId="177" fontId="56" fillId="0" borderId="0" xfId="0" applyNumberFormat="1" applyFont="1" applyFill="1" applyBorder="1" applyAlignment="1" applyProtection="1">
      <alignment horizontal="center"/>
      <protection/>
    </xf>
    <xf numFmtId="43" fontId="6" fillId="0" borderId="0" xfId="42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3" fontId="5" fillId="0" borderId="0" xfId="0" applyNumberFormat="1" applyFont="1" applyFill="1" applyBorder="1" applyAlignment="1" applyProtection="1">
      <alignment horizontal="right"/>
      <protection/>
    </xf>
    <xf numFmtId="179" fontId="5" fillId="0" borderId="0" xfId="0" applyNumberFormat="1" applyFont="1" applyFill="1" applyBorder="1" applyAlignment="1" applyProtection="1">
      <alignment/>
      <protection/>
    </xf>
    <xf numFmtId="0" fontId="6" fillId="34" borderId="0" xfId="0" applyNumberFormat="1" applyFont="1" applyFill="1" applyBorder="1" applyAlignment="1" applyProtection="1">
      <alignment/>
      <protection/>
    </xf>
    <xf numFmtId="0" fontId="57" fillId="0" borderId="0" xfId="0" applyNumberFormat="1" applyFont="1" applyFill="1" applyBorder="1" applyAlignment="1" applyProtection="1">
      <alignment/>
      <protection/>
    </xf>
    <xf numFmtId="43" fontId="5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87" fontId="9" fillId="0" borderId="0" xfId="0" applyNumberFormat="1" applyFont="1" applyAlignment="1" quotePrefix="1">
      <alignment horizontal="center"/>
    </xf>
    <xf numFmtId="187" fontId="9" fillId="0" borderId="0" xfId="0" applyNumberFormat="1" applyFont="1" applyAlignment="1">
      <alignment horizontal="center"/>
    </xf>
    <xf numFmtId="43" fontId="6" fillId="0" borderId="0" xfId="44" applyFont="1" applyFill="1" applyBorder="1" applyAlignment="1" applyProtection="1">
      <alignment/>
      <protection/>
    </xf>
    <xf numFmtId="43" fontId="5" fillId="0" borderId="0" xfId="44" applyFont="1" applyFill="1" applyBorder="1" applyAlignment="1" applyProtection="1">
      <alignment horizontal="center"/>
      <protection/>
    </xf>
    <xf numFmtId="43" fontId="6" fillId="33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22" fontId="6" fillId="0" borderId="0" xfId="0" applyNumberFormat="1" applyFont="1" applyFill="1" applyBorder="1" applyAlignment="1" applyProtection="1">
      <alignment/>
      <protection/>
    </xf>
    <xf numFmtId="0" fontId="10" fillId="34" borderId="0" xfId="0" applyNumberFormat="1" applyFont="1" applyFill="1" applyBorder="1" applyAlignment="1" applyProtection="1">
      <alignment/>
      <protection/>
    </xf>
    <xf numFmtId="0" fontId="7" fillId="34" borderId="0" xfId="0" applyNumberFormat="1" applyFont="1" applyFill="1" applyBorder="1" applyAlignment="1" applyProtection="1">
      <alignment/>
      <protection/>
    </xf>
    <xf numFmtId="0" fontId="6" fillId="13" borderId="0" xfId="0" applyNumberFormat="1" applyFont="1" applyFill="1" applyBorder="1" applyAlignment="1" applyProtection="1">
      <alignment/>
      <protection/>
    </xf>
    <xf numFmtId="177" fontId="11" fillId="13" borderId="0" xfId="0" applyNumberFormat="1" applyFont="1" applyFill="1" applyBorder="1" applyAlignment="1" applyProtection="1">
      <alignment horizontal="center"/>
      <protection/>
    </xf>
    <xf numFmtId="177" fontId="6" fillId="13" borderId="0" xfId="0" applyNumberFormat="1" applyFont="1" applyFill="1" applyBorder="1" applyAlignment="1" applyProtection="1">
      <alignment horizontal="center"/>
      <protection/>
    </xf>
    <xf numFmtId="43" fontId="6" fillId="13" borderId="0" xfId="0" applyNumberFormat="1" applyFont="1" applyFill="1" applyBorder="1" applyAlignment="1" applyProtection="1">
      <alignment/>
      <protection/>
    </xf>
    <xf numFmtId="0" fontId="6" fillId="13" borderId="0" xfId="0" applyNumberFormat="1" applyFont="1" applyFill="1" applyBorder="1" applyAlignment="1" applyProtection="1">
      <alignment horizontal="right"/>
      <protection/>
    </xf>
    <xf numFmtId="179" fontId="5" fillId="13" borderId="0" xfId="0" applyNumberFormat="1" applyFont="1" applyFill="1" applyBorder="1" applyAlignment="1" applyProtection="1">
      <alignment/>
      <protection/>
    </xf>
    <xf numFmtId="43" fontId="6" fillId="13" borderId="0" xfId="0" applyNumberFormat="1" applyFont="1" applyFill="1" applyBorder="1" applyAlignment="1" applyProtection="1">
      <alignment horizontal="right"/>
      <protection/>
    </xf>
    <xf numFmtId="43" fontId="6" fillId="13" borderId="0" xfId="0" applyNumberFormat="1" applyFont="1" applyFill="1" applyBorder="1" applyAlignment="1" applyProtection="1">
      <alignment horizontal="center"/>
      <protection/>
    </xf>
    <xf numFmtId="181" fontId="6" fillId="13" borderId="0" xfId="0" applyNumberFormat="1" applyFont="1" applyFill="1" applyBorder="1" applyAlignment="1" applyProtection="1">
      <alignment horizontal="center"/>
      <protection/>
    </xf>
    <xf numFmtId="182" fontId="5" fillId="13" borderId="0" xfId="0" applyNumberFormat="1" applyFont="1" applyFill="1" applyBorder="1" applyAlignment="1" applyProtection="1">
      <alignment horizontal="right"/>
      <protection/>
    </xf>
    <xf numFmtId="43" fontId="5" fillId="13" borderId="0" xfId="0" applyNumberFormat="1" applyFont="1" applyFill="1" applyBorder="1" applyAlignment="1" applyProtection="1">
      <alignment/>
      <protection/>
    </xf>
    <xf numFmtId="0" fontId="5" fillId="13" borderId="0" xfId="0" applyNumberFormat="1" applyFont="1" applyFill="1" applyBorder="1" applyAlignment="1" applyProtection="1">
      <alignment/>
      <protection/>
    </xf>
    <xf numFmtId="177" fontId="6" fillId="13" borderId="0" xfId="0" applyNumberFormat="1" applyFont="1" applyFill="1" applyBorder="1" applyAlignment="1" applyProtection="1">
      <alignment horizontal="center" vertical="center"/>
      <protection/>
    </xf>
    <xf numFmtId="43" fontId="5" fillId="13" borderId="0" xfId="44" applyFont="1" applyFill="1" applyBorder="1" applyAlignment="1" applyProtection="1">
      <alignment horizontal="center"/>
      <protection/>
    </xf>
    <xf numFmtId="177" fontId="56" fillId="13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right" indent="2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58" fillId="0" borderId="15" xfId="0" applyNumberFormat="1" applyFont="1" applyFill="1" applyBorder="1" applyAlignment="1" applyProtection="1">
      <alignment horizontal="center"/>
      <protection/>
    </xf>
    <xf numFmtId="0" fontId="58" fillId="0" borderId="16" xfId="0" applyNumberFormat="1" applyFont="1" applyFill="1" applyBorder="1" applyAlignment="1" applyProtection="1">
      <alignment horizontal="center"/>
      <protection/>
    </xf>
    <xf numFmtId="0" fontId="58" fillId="0" borderId="17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19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8" fillId="13" borderId="0" xfId="0" applyNumberFormat="1" applyFont="1" applyFill="1" applyBorder="1" applyAlignment="1" applyProtection="1">
      <alignment horizontal="right"/>
      <protection/>
    </xf>
    <xf numFmtId="0" fontId="5" fillId="13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0" fillId="34" borderId="0" xfId="0" applyNumberFormat="1" applyFont="1" applyFill="1" applyBorder="1" applyAlignment="1" applyProtection="1">
      <alignment horizontal="left"/>
      <protection/>
    </xf>
    <xf numFmtId="0" fontId="12" fillId="13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6969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5"/>
  <sheetViews>
    <sheetView zoomScalePageLayoutView="0" workbookViewId="0" topLeftCell="A47">
      <selection activeCell="H32" sqref="H32"/>
    </sheetView>
  </sheetViews>
  <sheetFormatPr defaultColWidth="12.375" defaultRowHeight="12.75" customHeight="1"/>
  <cols>
    <col min="1" max="3" width="12.375" style="1" customWidth="1"/>
    <col min="4" max="4" width="9.25390625" style="1" bestFit="1" customWidth="1"/>
    <col min="5" max="5" width="38.125" style="1" hidden="1" customWidth="1"/>
    <col min="6" max="6" width="0" style="1" hidden="1" customWidth="1"/>
    <col min="7" max="10" width="18.625" style="1" customWidth="1"/>
    <col min="11" max="16384" width="12.375" style="1" customWidth="1"/>
  </cols>
  <sheetData>
    <row r="1" spans="1:10" ht="15.75" customHeight="1" thickTop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14.25" customHeight="1">
      <c r="A2" s="81" t="s">
        <v>1</v>
      </c>
      <c r="B2" s="82"/>
      <c r="C2" s="82"/>
      <c r="D2" s="82"/>
      <c r="E2" s="82"/>
      <c r="F2" s="82"/>
      <c r="G2" s="82"/>
      <c r="H2" s="82"/>
      <c r="I2" s="82"/>
      <c r="J2" s="83"/>
    </row>
    <row r="3" spans="1:10" ht="30" customHeight="1">
      <c r="A3" s="87" t="s">
        <v>2</v>
      </c>
      <c r="B3" s="88"/>
      <c r="C3" s="88"/>
      <c r="D3" s="88"/>
      <c r="E3" s="88"/>
      <c r="F3" s="88"/>
      <c r="G3" s="88"/>
      <c r="H3" s="88"/>
      <c r="I3" s="88"/>
      <c r="J3" s="89"/>
    </row>
    <row r="4" spans="1:10" ht="13.5" customHeight="1" thickBot="1">
      <c r="A4" s="84" t="s">
        <v>3</v>
      </c>
      <c r="B4" s="85"/>
      <c r="C4" s="85"/>
      <c r="D4" s="85"/>
      <c r="E4" s="85"/>
      <c r="F4" s="85"/>
      <c r="G4" s="85"/>
      <c r="H4" s="85"/>
      <c r="I4" s="85"/>
      <c r="J4" s="86"/>
    </row>
    <row r="5" spans="7:10" ht="13.5" customHeight="1" thickTop="1">
      <c r="G5" s="2"/>
      <c r="H5" s="2"/>
      <c r="I5" s="2"/>
      <c r="J5" s="2"/>
    </row>
    <row r="6" spans="1:256" s="5" customFormat="1" ht="11.25">
      <c r="A6" s="7"/>
      <c r="B6" s="7"/>
      <c r="C6" s="8" t="s">
        <v>9</v>
      </c>
      <c r="D6" s="8"/>
      <c r="E6" s="4"/>
      <c r="F6" s="91" t="s">
        <v>10</v>
      </c>
      <c r="G6" s="91"/>
      <c r="H6" s="34" t="s">
        <v>84</v>
      </c>
      <c r="I6" s="35" t="s">
        <v>85</v>
      </c>
      <c r="J6" s="36" t="s">
        <v>86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5" customFormat="1" ht="11.25">
      <c r="A7" s="7"/>
      <c r="B7" s="7"/>
      <c r="C7" s="8" t="s">
        <v>4</v>
      </c>
      <c r="D7" s="7"/>
      <c r="E7" s="4"/>
      <c r="F7" s="7"/>
      <c r="G7" s="7">
        <v>2</v>
      </c>
      <c r="H7" s="7">
        <v>2</v>
      </c>
      <c r="I7" s="7">
        <v>2</v>
      </c>
      <c r="J7" s="7">
        <v>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5" customFormat="1" ht="11.25">
      <c r="A8" s="7"/>
      <c r="B8" s="7"/>
      <c r="C8" s="8" t="s">
        <v>5</v>
      </c>
      <c r="D8" s="7"/>
      <c r="E8" s="4"/>
      <c r="F8" s="7"/>
      <c r="G8" s="7">
        <v>50</v>
      </c>
      <c r="H8" s="7">
        <v>35</v>
      </c>
      <c r="I8" s="7">
        <v>32</v>
      </c>
      <c r="J8" s="7">
        <v>32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5" customFormat="1" ht="11.25">
      <c r="A9" s="4"/>
      <c r="B9" s="4"/>
      <c r="C9" s="8" t="s">
        <v>6</v>
      </c>
      <c r="D9" s="4"/>
      <c r="E9" s="4"/>
      <c r="F9" s="7"/>
      <c r="G9" s="7">
        <v>22</v>
      </c>
      <c r="H9" s="7">
        <v>14</v>
      </c>
      <c r="I9" s="7">
        <v>54</v>
      </c>
      <c r="J9" s="7">
        <v>55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5" customFormat="1" ht="12.75" customHeight="1">
      <c r="A10" s="4"/>
      <c r="B10" s="4"/>
      <c r="C10" s="8" t="s">
        <v>7</v>
      </c>
      <c r="D10" s="4"/>
      <c r="E10" s="4"/>
      <c r="F10" s="7"/>
      <c r="G10" s="7">
        <v>156</v>
      </c>
      <c r="H10" s="7">
        <v>130</v>
      </c>
      <c r="I10" s="7">
        <v>144</v>
      </c>
      <c r="J10" s="7">
        <v>177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5" customFormat="1" ht="12.75" customHeight="1">
      <c r="A11" s="4"/>
      <c r="B11" s="4"/>
      <c r="C11" s="8" t="s">
        <v>8</v>
      </c>
      <c r="D11" s="4"/>
      <c r="E11" s="4"/>
      <c r="F11" s="7"/>
      <c r="G11" s="7" t="s">
        <v>11</v>
      </c>
      <c r="H11" s="7">
        <v>53</v>
      </c>
      <c r="I11" s="7">
        <v>69</v>
      </c>
      <c r="J11" s="7">
        <v>88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5" customFormat="1" ht="12.75" customHeight="1">
      <c r="A12" s="4"/>
      <c r="B12" s="4"/>
      <c r="C12" s="4"/>
      <c r="D12" s="8"/>
      <c r="E12" s="4"/>
      <c r="F12" s="7"/>
      <c r="G12" s="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5" customFormat="1" ht="11.25">
      <c r="A13" s="10" t="s">
        <v>12</v>
      </c>
      <c r="B13" s="10"/>
      <c r="C13" s="11"/>
      <c r="D13" s="12"/>
      <c r="E13" s="12"/>
      <c r="F13" s="13" t="s">
        <v>13</v>
      </c>
      <c r="G13" s="14">
        <v>2570000</v>
      </c>
      <c r="H13" s="14">
        <v>3753000</v>
      </c>
      <c r="I13" s="14">
        <v>4294000</v>
      </c>
      <c r="J13" s="14">
        <v>4594000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5" customFormat="1" ht="11.25">
      <c r="A14" s="4" t="s">
        <v>14</v>
      </c>
      <c r="B14" s="4" t="s">
        <v>15</v>
      </c>
      <c r="C14" s="15"/>
      <c r="D14" s="4"/>
      <c r="E14" s="4"/>
      <c r="F14" s="16"/>
      <c r="G14" s="17">
        <f>IF(ISERROR(FIND("LOT ONLY",Model,1)),IF(SellingPrice&gt;3199200,(G13-(G13/1.12)),0),IF(SellingPrice&gt;1919500,(G13-(G13/1.12)),0))</f>
        <v>275357.1428571432</v>
      </c>
      <c r="H14" s="17">
        <f>IF(ISERROR(FIND("LOT ONLY",Model,1)),IF(SellingPrice&gt;3199200,(H13-(H13/1.12)),0),IF(SellingPrice&gt;1919500,(H13-(H13/1.12)),0))</f>
        <v>402107.1428571432</v>
      </c>
      <c r="I14" s="17">
        <f>IF(ISERROR(FIND("LOT ONLY",Model,1)),IF(SellingPrice&gt;3199200,(I13-(I13/1.12)),0),IF(SellingPrice&gt;1919500,(I13-(I13/1.12)),0))</f>
        <v>460071.4285714291</v>
      </c>
      <c r="J14" s="17">
        <f>IF(ISERROR(FIND("LOT ONLY",Model,1)),IF(SellingPrice&gt;3199200,(J13-(J13/1.12)),0),IF(SellingPrice&gt;1919500,(J13-(J13/1.12)),0))</f>
        <v>492214.2857142859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5" customFormat="1" ht="11.25">
      <c r="A15" s="6">
        <v>5</v>
      </c>
      <c r="B15" s="4" t="str">
        <f>CONCATENATE(A15,"% Discount on ",A42,"% SFDP")</f>
        <v>5% Discount on 10% SFDP</v>
      </c>
      <c r="C15" s="4"/>
      <c r="D15" s="4"/>
      <c r="E15" s="4"/>
      <c r="F15" s="16"/>
      <c r="G15" s="18">
        <f>(G13-G14)*(PercentageDiscount/100)*(SpotDownpayment/100)</f>
        <v>11473.214285714286</v>
      </c>
      <c r="H15" s="18">
        <f>(H13-H14)*(PercentageDiscount/100)*(SpotDownpayment/100)</f>
        <v>16754.464285714286</v>
      </c>
      <c r="I15" s="18">
        <f>(I13-I14)*(PercentageDiscount/100)*(SpotDownpayment/100)</f>
        <v>19169.64285714286</v>
      </c>
      <c r="J15" s="18">
        <f>(J13-J14)*(PercentageDiscount/100)*(SpotDownpayment/100)</f>
        <v>20508.928571428576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5" customFormat="1" ht="11.25" hidden="1">
      <c r="A16" s="4"/>
      <c r="B16" s="4" t="s">
        <v>16</v>
      </c>
      <c r="C16" s="4"/>
      <c r="D16" s="4"/>
      <c r="E16" s="4"/>
      <c r="F16" s="4"/>
      <c r="G16" s="18">
        <v>0</v>
      </c>
      <c r="H16" s="18">
        <v>0</v>
      </c>
      <c r="I16" s="18">
        <v>0</v>
      </c>
      <c r="J16" s="18"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5" customFormat="1" ht="11.25" hidden="1">
      <c r="A17" s="4"/>
      <c r="B17" s="4" t="s">
        <v>17</v>
      </c>
      <c r="C17" s="4"/>
      <c r="D17" s="4"/>
      <c r="E17" s="4"/>
      <c r="F17" s="4"/>
      <c r="G17" s="18">
        <v>0</v>
      </c>
      <c r="H17" s="18">
        <v>0</v>
      </c>
      <c r="I17" s="18">
        <v>0</v>
      </c>
      <c r="J17" s="18">
        <v>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11.25" hidden="1">
      <c r="A18" s="4"/>
      <c r="B18" s="4" t="s">
        <v>18</v>
      </c>
      <c r="C18" s="4"/>
      <c r="D18" s="4"/>
      <c r="E18" s="4"/>
      <c r="F18" s="4"/>
      <c r="G18" s="18">
        <v>0</v>
      </c>
      <c r="H18" s="18">
        <v>0</v>
      </c>
      <c r="I18" s="18">
        <v>0</v>
      </c>
      <c r="J18" s="18">
        <v>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1.25" hidden="1">
      <c r="A19" s="4"/>
      <c r="B19" s="4" t="s">
        <v>19</v>
      </c>
      <c r="C19" s="4"/>
      <c r="D19" s="4"/>
      <c r="E19" s="4"/>
      <c r="F19" s="4"/>
      <c r="G19" s="18">
        <v>0</v>
      </c>
      <c r="H19" s="18">
        <v>0</v>
      </c>
      <c r="I19" s="18">
        <v>0</v>
      </c>
      <c r="J19" s="18"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1.25" hidden="1">
      <c r="A20" s="4"/>
      <c r="B20" s="4" t="s">
        <v>20</v>
      </c>
      <c r="C20" s="4"/>
      <c r="D20" s="4"/>
      <c r="E20" s="4"/>
      <c r="F20" s="4"/>
      <c r="G20" s="18">
        <v>0</v>
      </c>
      <c r="H20" s="18">
        <v>0</v>
      </c>
      <c r="I20" s="18">
        <v>0</v>
      </c>
      <c r="J20" s="18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1.25" hidden="1">
      <c r="A21" s="4"/>
      <c r="B21" s="4" t="s">
        <v>21</v>
      </c>
      <c r="C21" s="4"/>
      <c r="D21" s="4"/>
      <c r="E21" s="4"/>
      <c r="F21" s="4"/>
      <c r="G21" s="18">
        <v>0</v>
      </c>
      <c r="H21" s="18">
        <v>0</v>
      </c>
      <c r="I21" s="18">
        <v>0</v>
      </c>
      <c r="J21" s="18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1.25" hidden="1">
      <c r="A22" s="4"/>
      <c r="B22" s="4" t="s">
        <v>22</v>
      </c>
      <c r="C22" s="4"/>
      <c r="D22" s="4"/>
      <c r="E22" s="4"/>
      <c r="F22" s="4"/>
      <c r="G22" s="18">
        <v>0</v>
      </c>
      <c r="H22" s="18">
        <v>0</v>
      </c>
      <c r="I22" s="18">
        <v>0</v>
      </c>
      <c r="J22" s="18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1.25" hidden="1">
      <c r="A23" s="4"/>
      <c r="B23" s="4" t="s">
        <v>23</v>
      </c>
      <c r="C23" s="4"/>
      <c r="D23" s="4"/>
      <c r="E23" s="4"/>
      <c r="F23" s="4"/>
      <c r="G23" s="18">
        <v>0</v>
      </c>
      <c r="H23" s="18">
        <v>0</v>
      </c>
      <c r="I23" s="18">
        <v>0</v>
      </c>
      <c r="J23" s="18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1.25" hidden="1">
      <c r="A24" s="4"/>
      <c r="B24" s="4" t="s">
        <v>24</v>
      </c>
      <c r="C24" s="4"/>
      <c r="D24" s="4"/>
      <c r="E24" s="4"/>
      <c r="F24" s="4"/>
      <c r="G24" s="18">
        <v>0</v>
      </c>
      <c r="H24" s="18">
        <v>0</v>
      </c>
      <c r="I24" s="18">
        <v>0</v>
      </c>
      <c r="J24" s="18"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1.25" hidden="1">
      <c r="A25" s="4"/>
      <c r="B25" s="4" t="s">
        <v>25</v>
      </c>
      <c r="C25" s="4"/>
      <c r="D25" s="4"/>
      <c r="E25" s="4"/>
      <c r="F25" s="4"/>
      <c r="G25" s="18">
        <v>0</v>
      </c>
      <c r="H25" s="18">
        <v>0</v>
      </c>
      <c r="I25" s="18">
        <v>0</v>
      </c>
      <c r="J25" s="18"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3.5" customHeight="1" thickBot="1">
      <c r="A26" s="4"/>
      <c r="B26" s="4"/>
      <c r="C26" s="4"/>
      <c r="D26" s="4"/>
      <c r="E26" s="4"/>
      <c r="F26" s="16"/>
      <c r="G26" s="19"/>
      <c r="H26" s="19"/>
      <c r="I26" s="19"/>
      <c r="J26" s="1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3.5" customHeight="1" thickTop="1">
      <c r="A27" s="10" t="s">
        <v>26</v>
      </c>
      <c r="B27" s="20"/>
      <c r="C27" s="12"/>
      <c r="D27" s="12"/>
      <c r="E27" s="12"/>
      <c r="F27" s="13" t="s">
        <v>13</v>
      </c>
      <c r="G27" s="21">
        <f>(SellingPrice-G14)-SUM(G15:G25)</f>
        <v>2283169.6428571427</v>
      </c>
      <c r="H27" s="21">
        <f>(H13-H14)-SUM(H15:H25)</f>
        <v>3334138.3928571427</v>
      </c>
      <c r="I27" s="21">
        <f>(I13-I14)-SUM(I15:I25)</f>
        <v>3814758.928571428</v>
      </c>
      <c r="J27" s="21">
        <f>(J13-J14)-SUM(J15:J25)</f>
        <v>4081276.7857142854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1.25">
      <c r="A28" s="4" t="s">
        <v>27</v>
      </c>
      <c r="B28" s="4" t="s">
        <v>15</v>
      </c>
      <c r="C28" s="4"/>
      <c r="D28" s="4"/>
      <c r="E28" s="4"/>
      <c r="F28" s="4"/>
      <c r="G28" s="18">
        <f>ROUND(IF(ISERROR(FIND("LOT ONLY",Model,1)),IF(G27&gt;3199200,G27*12%,0),IF(G27&gt;1919500,G27*12%,0)),2)</f>
        <v>273980.36</v>
      </c>
      <c r="H28" s="18">
        <f>H27*12%</f>
        <v>400096.6071428571</v>
      </c>
      <c r="I28" s="18">
        <f>I27*12%</f>
        <v>457771.07142857136</v>
      </c>
      <c r="J28" s="18">
        <f>J27*12%</f>
        <v>489753.21428571426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1.25" hidden="1">
      <c r="A29" s="6">
        <v>5</v>
      </c>
      <c r="B29" s="4" t="s">
        <v>28</v>
      </c>
      <c r="C29" s="4"/>
      <c r="D29" s="4"/>
      <c r="E29" s="4"/>
      <c r="F29" s="4"/>
      <c r="G29" s="18">
        <f>ROUND(G27*(A29/100),2)</f>
        <v>114158.48</v>
      </c>
      <c r="H29" s="18" t="e">
        <f>ROUND(H27*(B29/100),2)</f>
        <v>#VALUE!</v>
      </c>
      <c r="I29" s="18">
        <f>ROUND(I27*(C29/100),2)</f>
        <v>0</v>
      </c>
      <c r="J29" s="18">
        <f>ROUND(J27*(D29/100),2)</f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1.25" hidden="1">
      <c r="A30" s="6"/>
      <c r="B30" s="4" t="s">
        <v>29</v>
      </c>
      <c r="C30" s="4"/>
      <c r="D30" s="4"/>
      <c r="E30" s="4"/>
      <c r="F30" s="6">
        <f>IF(G30&gt;50000,50000,G30)</f>
        <v>0</v>
      </c>
      <c r="G30" s="18">
        <v>0</v>
      </c>
      <c r="H30" s="18">
        <v>0</v>
      </c>
      <c r="I30" s="18">
        <v>0</v>
      </c>
      <c r="J30" s="18"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1.25" hidden="1">
      <c r="A31" s="6"/>
      <c r="B31" s="4" t="s">
        <v>30</v>
      </c>
      <c r="C31" s="4"/>
      <c r="D31" s="4"/>
      <c r="E31" s="4"/>
      <c r="F31" s="4"/>
      <c r="G31" s="18">
        <v>0</v>
      </c>
      <c r="H31" s="18">
        <v>0</v>
      </c>
      <c r="I31" s="18">
        <v>0</v>
      </c>
      <c r="J31" s="18">
        <v>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3.5" customHeight="1" thickBot="1">
      <c r="A32" s="6"/>
      <c r="B32" s="4" t="s">
        <v>31</v>
      </c>
      <c r="C32" s="4"/>
      <c r="D32" s="4"/>
      <c r="E32" s="4"/>
      <c r="F32" s="4"/>
      <c r="G32" s="18">
        <f>ROUND(SUM(G29,G31,F30),2)</f>
        <v>114158.48</v>
      </c>
      <c r="H32" s="18">
        <f>H27*5%</f>
        <v>166706.91964285716</v>
      </c>
      <c r="I32" s="18">
        <f>I27*5%</f>
        <v>190737.94642857142</v>
      </c>
      <c r="J32" s="18">
        <f>J27*5%</f>
        <v>204063.8392857143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3.5" customHeight="1" thickTop="1">
      <c r="A33" s="10" t="s">
        <v>32</v>
      </c>
      <c r="B33" s="12"/>
      <c r="C33" s="12"/>
      <c r="D33" s="12"/>
      <c r="E33" s="12"/>
      <c r="F33" s="13" t="s">
        <v>13</v>
      </c>
      <c r="G33" s="21">
        <f>G27+SUM(G28,G32)</f>
        <v>2671308.4828571426</v>
      </c>
      <c r="H33" s="21">
        <f>H27+SUM(H28,H32)</f>
        <v>3900941.9196428573</v>
      </c>
      <c r="I33" s="21">
        <f>I27+SUM(I28,I32)</f>
        <v>4463267.946428571</v>
      </c>
      <c r="J33" s="21">
        <f>J27+SUM(J28,J32)</f>
        <v>4775093.839285714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1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1.25">
      <c r="A35" s="3" t="s">
        <v>33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1.25">
      <c r="A36" s="22">
        <v>20</v>
      </c>
      <c r="B36" s="4" t="str">
        <f>CONCATENATE("Downpayment ("&amp;A36&amp;"% of Selling Price)")</f>
        <v>Downpayment (20% of Selling Price)</v>
      </c>
      <c r="C36" s="4"/>
      <c r="D36" s="4"/>
      <c r="E36" s="4"/>
      <c r="F36" s="4"/>
      <c r="G36" s="18">
        <f>ROUND((G27+G28)*(A36/100),2)</f>
        <v>511430</v>
      </c>
      <c r="H36" s="18">
        <f>ROUND((H27+H28)*(Downpayment/100),2)</f>
        <v>746847</v>
      </c>
      <c r="I36" s="18">
        <f>ROUND((I27+I28)*(Downpayment/100),2)</f>
        <v>854506</v>
      </c>
      <c r="J36" s="18">
        <f>ROUND((J27+J28)*(Downpayment/100),2)</f>
        <v>914206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5" customFormat="1" ht="13.5" customHeight="1" thickBot="1">
      <c r="A37" s="3"/>
      <c r="B37" s="4" t="s">
        <v>34</v>
      </c>
      <c r="C37" s="4"/>
      <c r="D37" s="4"/>
      <c r="E37" s="4"/>
      <c r="F37" s="4"/>
      <c r="G37" s="18">
        <f>ROUND(G32*(A36/100),2)</f>
        <v>22831.7</v>
      </c>
      <c r="H37" s="18">
        <f>ROUND(H32*(Downpayment/100),2)</f>
        <v>33341.38</v>
      </c>
      <c r="I37" s="18">
        <f>ROUND(I32*(Downpayment/100),2)</f>
        <v>38147.59</v>
      </c>
      <c r="J37" s="18">
        <f>ROUND(J32*(Downpayment/100),2)</f>
        <v>40812.77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5" customFormat="1" ht="13.5" customHeight="1" thickTop="1">
      <c r="A38" s="10" t="s">
        <v>35</v>
      </c>
      <c r="B38" s="12"/>
      <c r="C38" s="12"/>
      <c r="D38" s="12"/>
      <c r="E38" s="12"/>
      <c r="F38" s="13" t="s">
        <v>13</v>
      </c>
      <c r="G38" s="21">
        <f>SUM(G36:G37)</f>
        <v>534261.7</v>
      </c>
      <c r="H38" s="21">
        <f>SUM(H36:H37)</f>
        <v>780188.38</v>
      </c>
      <c r="I38" s="21">
        <f>SUM(I36:I37)</f>
        <v>892653.59</v>
      </c>
      <c r="J38" s="21">
        <f>SUM(J36:J37)</f>
        <v>955018.77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5" customFormat="1" ht="13.5" customHeight="1" thickBot="1">
      <c r="A39" s="4" t="s">
        <v>14</v>
      </c>
      <c r="B39" s="4" t="s">
        <v>36</v>
      </c>
      <c r="C39" s="4"/>
      <c r="D39" s="39">
        <v>41787</v>
      </c>
      <c r="E39" s="4"/>
      <c r="F39" s="23">
        <f>DATE(2014,5,28)</f>
        <v>41787</v>
      </c>
      <c r="G39" s="18">
        <v>20000</v>
      </c>
      <c r="H39" s="18">
        <v>25000</v>
      </c>
      <c r="I39" s="18">
        <v>25000</v>
      </c>
      <c r="J39" s="18">
        <v>25000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5" customFormat="1" ht="13.5" customHeight="1" thickTop="1">
      <c r="A40" s="10" t="s">
        <v>37</v>
      </c>
      <c r="B40" s="12"/>
      <c r="C40" s="12"/>
      <c r="D40" s="12"/>
      <c r="E40" s="24"/>
      <c r="F40" s="13" t="s">
        <v>13</v>
      </c>
      <c r="G40" s="21">
        <f>G38-G39</f>
        <v>514261.69999999995</v>
      </c>
      <c r="H40" s="21">
        <f>H38-H39</f>
        <v>755188.38</v>
      </c>
      <c r="I40" s="21">
        <f>I38-I39</f>
        <v>867653.59</v>
      </c>
      <c r="J40" s="21">
        <f>J38-J39</f>
        <v>930018.77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5" customFormat="1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5" customFormat="1" ht="11.25">
      <c r="A42" s="6">
        <v>10</v>
      </c>
      <c r="B42" s="41" t="str">
        <f>CONCATENATE("Spot Downpayment ("&amp;A42&amp;"% of Selling Price)")</f>
        <v>Spot Downpayment (10% of Selling Price)</v>
      </c>
      <c r="C42" s="4"/>
      <c r="D42" s="4"/>
      <c r="E42" s="9"/>
      <c r="F42" s="23"/>
      <c r="G42" s="18">
        <f>ROUND((SUM(G27:G28)*(A42/100))-G39,2)</f>
        <v>235715</v>
      </c>
      <c r="H42" s="18">
        <f>ROUND((SUM(H27:H28)*(SpotDownpayment/100))-H39,2)</f>
        <v>348423.5</v>
      </c>
      <c r="I42" s="18">
        <f>ROUND((SUM(I27:I28)*(SpotDownpayment/100))-I39,2)</f>
        <v>402253</v>
      </c>
      <c r="J42" s="18">
        <f>ROUND((SUM(J27:J28)*(SpotDownpayment/100))-J39,2)</f>
        <v>432103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5" customFormat="1" ht="13.5" customHeight="1" thickBot="1">
      <c r="A43" s="4"/>
      <c r="B43" s="4" t="s">
        <v>28</v>
      </c>
      <c r="C43" s="4"/>
      <c r="D43" s="4"/>
      <c r="E43" s="9"/>
      <c r="F43" s="23"/>
      <c r="G43" s="18">
        <f>ROUND(G32*(A42/100),2)</f>
        <v>11415.85</v>
      </c>
      <c r="H43" s="18">
        <f>ROUND(H32*(SpotDownpayment/100),2)</f>
        <v>16670.69</v>
      </c>
      <c r="I43" s="18">
        <f>ROUND(I32*(SpotDownpayment/100),2)</f>
        <v>19073.79</v>
      </c>
      <c r="J43" s="18">
        <f>ROUND(J32*(SpotDownpayment/100),2)</f>
        <v>20406.38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5" customFormat="1" ht="13.5" customHeight="1" thickTop="1">
      <c r="A44" s="4"/>
      <c r="B44" s="42" t="s">
        <v>94</v>
      </c>
      <c r="C44" s="4"/>
      <c r="D44" s="4"/>
      <c r="E44" s="9"/>
      <c r="F44" s="23">
        <f>ReservationDate+30</f>
        <v>41817</v>
      </c>
      <c r="G44" s="25">
        <f>ROUND(SUM(G42:G43),2)</f>
        <v>247130.85</v>
      </c>
      <c r="H44" s="25">
        <f>ROUND(SUM(H42:H43),2)</f>
        <v>365094.19</v>
      </c>
      <c r="I44" s="25">
        <f>ROUND(SUM(I42:I43),2)</f>
        <v>421326.79</v>
      </c>
      <c r="J44" s="25">
        <f>ROUND(SUM(J42:J43),2)</f>
        <v>452509.38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5" customFormat="1" ht="11.25">
      <c r="A45" s="4"/>
      <c r="B45" s="3"/>
      <c r="C45" s="4"/>
      <c r="D45" s="4"/>
      <c r="E45" s="9"/>
      <c r="F45" s="23"/>
      <c r="G45" s="26"/>
      <c r="H45" s="26"/>
      <c r="I45" s="26"/>
      <c r="J45" s="2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5" customFormat="1" ht="11.25">
      <c r="A46" s="6">
        <f>A36-A42</f>
        <v>10</v>
      </c>
      <c r="B46" s="41" t="str">
        <f>CONCATENATE("Streched Downpayment ("&amp;A46&amp;"% of Selling Price)")</f>
        <v>Streched Downpayment (10% of Selling Price)</v>
      </c>
      <c r="C46" s="4"/>
      <c r="D46" s="4"/>
      <c r="E46" s="9"/>
      <c r="F46" s="23"/>
      <c r="G46" s="18">
        <f>ROUND(G36-G42-G39,2)</f>
        <v>255715</v>
      </c>
      <c r="H46" s="18">
        <f>ROUND(H36-H42-H39,2)</f>
        <v>373423.5</v>
      </c>
      <c r="I46" s="18">
        <f>ROUND(I36-I42-I39,2)</f>
        <v>427253</v>
      </c>
      <c r="J46" s="18">
        <f>ROUND(J36-J42-J39,2)</f>
        <v>457103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5" customFormat="1" ht="13.5" customHeight="1" thickBot="1">
      <c r="A47" s="4"/>
      <c r="B47" s="4" t="s">
        <v>28</v>
      </c>
      <c r="C47" s="4"/>
      <c r="D47" s="4"/>
      <c r="E47" s="9"/>
      <c r="F47" s="23"/>
      <c r="G47" s="18">
        <f>ROUND(G37-G43,2)</f>
        <v>11415.85</v>
      </c>
      <c r="H47" s="18">
        <f>ROUND(H37-H43,2)</f>
        <v>16670.69</v>
      </c>
      <c r="I47" s="18">
        <f>ROUND(I37-I43,2)</f>
        <v>19073.8</v>
      </c>
      <c r="J47" s="18">
        <f>ROUND(J37-J43,2)</f>
        <v>20406.39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5" customFormat="1" ht="13.5" customHeight="1" thickTop="1">
      <c r="A48" s="4"/>
      <c r="B48" s="42" t="s">
        <v>93</v>
      </c>
      <c r="C48" s="4"/>
      <c r="D48" s="4"/>
      <c r="E48" s="9"/>
      <c r="F48" s="23"/>
      <c r="G48" s="25">
        <f>ROUND(SUM(G46:G47),2)</f>
        <v>267130.85</v>
      </c>
      <c r="H48" s="25">
        <f>ROUND(SUM(H46:H47),2)</f>
        <v>390094.19</v>
      </c>
      <c r="I48" s="25">
        <f>ROUND(SUM(I46:I47),2)</f>
        <v>446326.8</v>
      </c>
      <c r="J48" s="25">
        <f>ROUND(SUM(J46:J47),2)</f>
        <v>477509.39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5" customFormat="1" ht="11.25">
      <c r="A49" s="4"/>
      <c r="B49" s="4"/>
      <c r="C49" s="4"/>
      <c r="D49" s="4"/>
      <c r="E49" s="9"/>
      <c r="F49" s="23"/>
      <c r="G49" s="26"/>
      <c r="H49" s="26"/>
      <c r="I49" s="26"/>
      <c r="J49" s="26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5" customFormat="1" ht="25.5" customHeight="1">
      <c r="A50" s="27">
        <v>24</v>
      </c>
      <c r="B50" s="92" t="s">
        <v>38</v>
      </c>
      <c r="C50" s="92"/>
      <c r="D50" s="37" t="s">
        <v>39</v>
      </c>
      <c r="E50" s="27" t="s">
        <v>40</v>
      </c>
      <c r="F50" s="28" t="s">
        <v>28</v>
      </c>
      <c r="G50" s="90" t="s">
        <v>41</v>
      </c>
      <c r="H50" s="90"/>
      <c r="I50" s="90"/>
      <c r="J50" s="90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5" customFormat="1" ht="11.25">
      <c r="A51" s="76" t="s">
        <v>87</v>
      </c>
      <c r="B51" s="76"/>
      <c r="C51" s="76"/>
      <c r="D51" s="38">
        <f>D39+30</f>
        <v>41817</v>
      </c>
      <c r="E51" s="17">
        <f>ROUND(G46/A50,2)</f>
        <v>10654.79</v>
      </c>
      <c r="F51" s="31">
        <f>ROUND(G47/A50,2)</f>
        <v>475.66</v>
      </c>
      <c r="G51" s="18">
        <f>G48/18</f>
        <v>14840.602777777776</v>
      </c>
      <c r="H51" s="18">
        <f>H48/18</f>
        <v>21671.899444444443</v>
      </c>
      <c r="I51" s="18">
        <f>I48/18</f>
        <v>24795.933333333334</v>
      </c>
      <c r="J51" s="18">
        <f>J48/18</f>
        <v>26528.299444444445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5" customFormat="1" ht="11.25" hidden="1">
      <c r="A52" s="76" t="s">
        <v>42</v>
      </c>
      <c r="B52" s="76"/>
      <c r="C52" s="76"/>
      <c r="D52" s="30">
        <f>IF($A$50&lt;VALUE(LEFT(A52,1))," ",DATE(YEAR(D51+30),MONTH(D51+30),DAY(D51)))</f>
        <v>41847</v>
      </c>
      <c r="E52" s="17">
        <f>IF($A$50&lt;VALUE(LEFT(A52,1))," ",IF($A$50=VALUE(LEFT(A52,1)),$G$46-($E$51*($A$50-1)),E51))</f>
        <v>10654.79</v>
      </c>
      <c r="F52" s="31">
        <f>IF($A$50&lt;VALUE(LEFT(A52,1))," ",IF($A$50=VALUE(LEFT(A52,1)),$G$47-($F$51*($A$50-1)),F51))</f>
        <v>475.66</v>
      </c>
      <c r="G52" s="18">
        <f>IF($A$50&lt;VALUE(LEFT(A52,1))," ",SUM(E52:F52))</f>
        <v>11130.45</v>
      </c>
      <c r="H52" s="18">
        <v>22180.06</v>
      </c>
      <c r="I52" s="18">
        <v>24795.93</v>
      </c>
      <c r="J52" s="18">
        <v>28358.83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5" customFormat="1" ht="11.25" hidden="1">
      <c r="A53" s="76" t="s">
        <v>43</v>
      </c>
      <c r="B53" s="76"/>
      <c r="C53" s="76"/>
      <c r="D53" s="30">
        <f>IF($A$50&lt;VALUE(LEFT(A53,1))," ",DATE(YEAR(D52+30),MONTH(D52+30),DAY(D52)))</f>
        <v>41878</v>
      </c>
      <c r="E53" s="17">
        <f aca="true" t="shared" si="0" ref="E53:E59">IF($A$50&lt;VALUE(LEFT(A53,1))," ",IF($A$50=VALUE(LEFT(A53,1)),$G$46-($E$51*($A$50-1)),E52))</f>
        <v>10654.79</v>
      </c>
      <c r="F53" s="31">
        <f aca="true" t="shared" si="1" ref="F53:F59">IF($A$50&lt;VALUE(LEFT(A53,1))," ",IF($A$50=VALUE(LEFT(A53,1)),$G$47-($F$51*($A$50-1)),F52))</f>
        <v>475.66</v>
      </c>
      <c r="G53" s="18">
        <f aca="true" t="shared" si="2" ref="G53:G59">IF($A$50&lt;VALUE(LEFT(A53,1))," ",SUM(E53:F53))</f>
        <v>11130.45</v>
      </c>
      <c r="H53" s="18">
        <v>22180.06</v>
      </c>
      <c r="I53" s="18">
        <v>24795.93</v>
      </c>
      <c r="J53" s="18">
        <v>28358.83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5" customFormat="1" ht="11.25" hidden="1">
      <c r="A54" s="76" t="s">
        <v>44</v>
      </c>
      <c r="B54" s="76"/>
      <c r="C54" s="76"/>
      <c r="D54" s="30">
        <f aca="true" t="shared" si="3" ref="D54:D59">IF($A$50&lt;VALUE(LEFT(A54,1))," ",DATE(YEAR(D53+30),MONTH(D53+30),DAY(D53)))</f>
        <v>41909</v>
      </c>
      <c r="E54" s="17">
        <f t="shared" si="0"/>
        <v>10654.79</v>
      </c>
      <c r="F54" s="31">
        <f t="shared" si="1"/>
        <v>475.66</v>
      </c>
      <c r="G54" s="18">
        <f t="shared" si="2"/>
        <v>11130.45</v>
      </c>
      <c r="H54" s="18">
        <v>22180.06</v>
      </c>
      <c r="I54" s="18">
        <v>24795.93</v>
      </c>
      <c r="J54" s="18">
        <v>28358.83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5" customFormat="1" ht="11.25" hidden="1">
      <c r="A55" s="76" t="s">
        <v>45</v>
      </c>
      <c r="B55" s="76"/>
      <c r="C55" s="76"/>
      <c r="D55" s="30">
        <f t="shared" si="3"/>
        <v>41939</v>
      </c>
      <c r="E55" s="17">
        <f t="shared" si="0"/>
        <v>10654.79</v>
      </c>
      <c r="F55" s="31">
        <f t="shared" si="1"/>
        <v>475.66</v>
      </c>
      <c r="G55" s="18">
        <f t="shared" si="2"/>
        <v>11130.45</v>
      </c>
      <c r="H55" s="18">
        <v>22180.06</v>
      </c>
      <c r="I55" s="18">
        <v>24795.93</v>
      </c>
      <c r="J55" s="18">
        <v>28358.83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5" customFormat="1" ht="11.25" hidden="1">
      <c r="A56" s="76" t="s">
        <v>46</v>
      </c>
      <c r="B56" s="76"/>
      <c r="C56" s="76"/>
      <c r="D56" s="30">
        <f t="shared" si="3"/>
        <v>41970</v>
      </c>
      <c r="E56" s="17">
        <f t="shared" si="0"/>
        <v>10654.79</v>
      </c>
      <c r="F56" s="31">
        <f t="shared" si="1"/>
        <v>475.66</v>
      </c>
      <c r="G56" s="18">
        <f t="shared" si="2"/>
        <v>11130.45</v>
      </c>
      <c r="H56" s="18">
        <v>22180.06</v>
      </c>
      <c r="I56" s="18">
        <v>24795.93</v>
      </c>
      <c r="J56" s="18">
        <v>28358.83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5" customFormat="1" ht="11.25" hidden="1">
      <c r="A57" s="76" t="s">
        <v>47</v>
      </c>
      <c r="B57" s="76"/>
      <c r="C57" s="76"/>
      <c r="D57" s="30">
        <f t="shared" si="3"/>
        <v>42000</v>
      </c>
      <c r="E57" s="17">
        <f t="shared" si="0"/>
        <v>10654.79</v>
      </c>
      <c r="F57" s="31">
        <f t="shared" si="1"/>
        <v>475.66</v>
      </c>
      <c r="G57" s="18">
        <f t="shared" si="2"/>
        <v>11130.45</v>
      </c>
      <c r="H57" s="18">
        <v>22180.06</v>
      </c>
      <c r="I57" s="18">
        <v>24795.93</v>
      </c>
      <c r="J57" s="18">
        <v>28358.83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5" customFormat="1" ht="11.25" hidden="1">
      <c r="A58" s="76" t="s">
        <v>48</v>
      </c>
      <c r="B58" s="76"/>
      <c r="C58" s="76"/>
      <c r="D58" s="30">
        <f t="shared" si="3"/>
        <v>42031</v>
      </c>
      <c r="E58" s="17">
        <f t="shared" si="0"/>
        <v>10654.79</v>
      </c>
      <c r="F58" s="31">
        <f t="shared" si="1"/>
        <v>475.66</v>
      </c>
      <c r="G58" s="18">
        <f t="shared" si="2"/>
        <v>11130.45</v>
      </c>
      <c r="H58" s="18">
        <v>22180.06</v>
      </c>
      <c r="I58" s="18">
        <v>24795.93</v>
      </c>
      <c r="J58" s="18">
        <v>28358.83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5" customFormat="1" ht="11.25" hidden="1">
      <c r="A59" s="76" t="s">
        <v>49</v>
      </c>
      <c r="B59" s="76"/>
      <c r="C59" s="76"/>
      <c r="D59" s="30">
        <f t="shared" si="3"/>
        <v>42062</v>
      </c>
      <c r="E59" s="17">
        <f t="shared" si="0"/>
        <v>10654.79</v>
      </c>
      <c r="F59" s="31">
        <f t="shared" si="1"/>
        <v>475.66</v>
      </c>
      <c r="G59" s="18">
        <f t="shared" si="2"/>
        <v>11130.45</v>
      </c>
      <c r="H59" s="18">
        <v>22180.06</v>
      </c>
      <c r="I59" s="18">
        <v>24795.93</v>
      </c>
      <c r="J59" s="18">
        <v>28358.83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5" customFormat="1" ht="11.25" hidden="1">
      <c r="A60" s="76" t="s">
        <v>50</v>
      </c>
      <c r="B60" s="76"/>
      <c r="C60" s="76"/>
      <c r="D60" s="30">
        <f>IF($A$50&lt;VALUE(LEFT(A60,2))," ",DATE(YEAR(D59+30),MONTH(D59+30),DAY(D59)))</f>
        <v>42090</v>
      </c>
      <c r="E60" s="17">
        <f>IF($A$50&lt;VALUE(LEFT(A60,2))," ",IF($A$50=VALUE(LEFT(A60,2)),$G$46-($E$51*($A$50-1)),E59))</f>
        <v>10654.79</v>
      </c>
      <c r="F60" s="31">
        <f>IF($A$50&lt;VALUE(LEFT(A60,2))," ",IF($A$50=VALUE(LEFT(A60,2)),$G$47-($F$51*($A$50-1)),F59))</f>
        <v>475.66</v>
      </c>
      <c r="G60" s="18">
        <f>IF($A$50&lt;VALUE(LEFT(A60,2))," ",SUM(E60:F60))</f>
        <v>11130.45</v>
      </c>
      <c r="H60" s="18">
        <v>22180.06</v>
      </c>
      <c r="I60" s="18">
        <v>24795.93</v>
      </c>
      <c r="J60" s="18">
        <v>28358.83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5" customFormat="1" ht="11.25" hidden="1">
      <c r="A61" s="76" t="s">
        <v>51</v>
      </c>
      <c r="B61" s="76"/>
      <c r="C61" s="76"/>
      <c r="D61" s="30">
        <f aca="true" t="shared" si="4" ref="D61:D80">IF($A$50&lt;VALUE(LEFT(A61,2))," ",DATE(YEAR(D60+30),MONTH(D60+30),DAY(D60)))</f>
        <v>42121</v>
      </c>
      <c r="E61" s="17">
        <f aca="true" t="shared" si="5" ref="E61:E86">IF($A$50&lt;VALUE(LEFT(A61,2))," ",IF($A$50=VALUE(LEFT(A61,2)),$G$46-($E$51*($A$50-1)),E60))</f>
        <v>10654.79</v>
      </c>
      <c r="F61" s="31">
        <f aca="true" t="shared" si="6" ref="F61:F86">IF($A$50&lt;VALUE(LEFT(A61,2))," ",IF($A$50=VALUE(LEFT(A61,2)),$G$47-($F$51*($A$50-1)),F60))</f>
        <v>475.66</v>
      </c>
      <c r="G61" s="18">
        <f aca="true" t="shared" si="7" ref="G61:J86">IF($A$50&lt;VALUE(LEFT(A61,2))," ",SUM(E61:F61))</f>
        <v>11130.45</v>
      </c>
      <c r="H61" s="18">
        <v>22180.06</v>
      </c>
      <c r="I61" s="18">
        <v>24795.93</v>
      </c>
      <c r="J61" s="18">
        <v>28358.83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5" customFormat="1" ht="11.25" hidden="1">
      <c r="A62" s="76" t="s">
        <v>52</v>
      </c>
      <c r="B62" s="76"/>
      <c r="C62" s="76"/>
      <c r="D62" s="30">
        <f t="shared" si="4"/>
        <v>42151</v>
      </c>
      <c r="E62" s="17">
        <f t="shared" si="5"/>
        <v>10654.79</v>
      </c>
      <c r="F62" s="31">
        <f t="shared" si="6"/>
        <v>475.66</v>
      </c>
      <c r="G62" s="18">
        <f t="shared" si="7"/>
        <v>11130.45</v>
      </c>
      <c r="H62" s="18">
        <v>22180.06</v>
      </c>
      <c r="I62" s="18">
        <v>24795.93</v>
      </c>
      <c r="J62" s="18">
        <v>28358.83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5" customFormat="1" ht="11.25" hidden="1">
      <c r="A63" s="76" t="s">
        <v>53</v>
      </c>
      <c r="B63" s="76"/>
      <c r="C63" s="76"/>
      <c r="D63" s="30">
        <f t="shared" si="4"/>
        <v>42182</v>
      </c>
      <c r="E63" s="17">
        <f t="shared" si="5"/>
        <v>10654.79</v>
      </c>
      <c r="F63" s="31">
        <f t="shared" si="6"/>
        <v>475.66</v>
      </c>
      <c r="G63" s="18">
        <f t="shared" si="7"/>
        <v>11130.45</v>
      </c>
      <c r="H63" s="18">
        <v>22180.06</v>
      </c>
      <c r="I63" s="18">
        <v>24795.93</v>
      </c>
      <c r="J63" s="18">
        <v>28358.83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5" customFormat="1" ht="11.25" hidden="1">
      <c r="A64" s="76" t="s">
        <v>54</v>
      </c>
      <c r="B64" s="76"/>
      <c r="C64" s="76"/>
      <c r="D64" s="30">
        <f t="shared" si="4"/>
        <v>42212</v>
      </c>
      <c r="E64" s="17">
        <f t="shared" si="5"/>
        <v>10654.79</v>
      </c>
      <c r="F64" s="31">
        <f t="shared" si="6"/>
        <v>475.66</v>
      </c>
      <c r="G64" s="18">
        <f t="shared" si="7"/>
        <v>11130.45</v>
      </c>
      <c r="H64" s="18">
        <v>22180.06</v>
      </c>
      <c r="I64" s="18">
        <v>24795.93</v>
      </c>
      <c r="J64" s="18">
        <v>28358.83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5" customFormat="1" ht="11.25" hidden="1">
      <c r="A65" s="76" t="s">
        <v>55</v>
      </c>
      <c r="B65" s="76"/>
      <c r="C65" s="76"/>
      <c r="D65" s="30">
        <f t="shared" si="4"/>
        <v>42243</v>
      </c>
      <c r="E65" s="17">
        <f t="shared" si="5"/>
        <v>10654.79</v>
      </c>
      <c r="F65" s="31">
        <f t="shared" si="6"/>
        <v>475.66</v>
      </c>
      <c r="G65" s="18">
        <f t="shared" si="7"/>
        <v>11130.45</v>
      </c>
      <c r="H65" s="18">
        <v>22180.06</v>
      </c>
      <c r="I65" s="18">
        <v>24795.93</v>
      </c>
      <c r="J65" s="18">
        <v>28358.83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5" customFormat="1" ht="11.25" hidden="1">
      <c r="A66" s="76" t="s">
        <v>56</v>
      </c>
      <c r="B66" s="76"/>
      <c r="C66" s="76"/>
      <c r="D66" s="30">
        <f t="shared" si="4"/>
        <v>42274</v>
      </c>
      <c r="E66" s="17">
        <f t="shared" si="5"/>
        <v>10654.79</v>
      </c>
      <c r="F66" s="31">
        <f t="shared" si="6"/>
        <v>475.66</v>
      </c>
      <c r="G66" s="18">
        <f t="shared" si="7"/>
        <v>11130.45</v>
      </c>
      <c r="H66" s="18">
        <v>22180.06</v>
      </c>
      <c r="I66" s="18">
        <v>24795.93</v>
      </c>
      <c r="J66" s="18">
        <v>28358.83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5" customFormat="1" ht="11.25" hidden="1">
      <c r="A67" s="76" t="s">
        <v>57</v>
      </c>
      <c r="B67" s="76"/>
      <c r="C67" s="76"/>
      <c r="D67" s="30">
        <f t="shared" si="4"/>
        <v>42304</v>
      </c>
      <c r="E67" s="17">
        <f t="shared" si="5"/>
        <v>10654.79</v>
      </c>
      <c r="F67" s="31">
        <f t="shared" si="6"/>
        <v>475.66</v>
      </c>
      <c r="G67" s="18">
        <f t="shared" si="7"/>
        <v>11130.45</v>
      </c>
      <c r="H67" s="18">
        <v>22180.06</v>
      </c>
      <c r="I67" s="18">
        <v>24795.93</v>
      </c>
      <c r="J67" s="18">
        <v>28358.83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5" customFormat="1" ht="11.25" hidden="1">
      <c r="A68" s="76" t="s">
        <v>58</v>
      </c>
      <c r="B68" s="76"/>
      <c r="C68" s="76"/>
      <c r="D68" s="30">
        <f t="shared" si="4"/>
        <v>42335</v>
      </c>
      <c r="E68" s="17">
        <f t="shared" si="5"/>
        <v>10654.79</v>
      </c>
      <c r="F68" s="31">
        <f t="shared" si="6"/>
        <v>475.66</v>
      </c>
      <c r="G68" s="18">
        <f t="shared" si="7"/>
        <v>11130.45</v>
      </c>
      <c r="H68" s="18">
        <v>22180.07</v>
      </c>
      <c r="I68" s="18">
        <v>24795.99</v>
      </c>
      <c r="J68" s="18">
        <v>28358.87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5" customFormat="1" ht="11.25" hidden="1">
      <c r="A69" s="76" t="s">
        <v>59</v>
      </c>
      <c r="B69" s="76"/>
      <c r="C69" s="76"/>
      <c r="D69" s="30">
        <f t="shared" si="4"/>
        <v>42365</v>
      </c>
      <c r="E69" s="17">
        <f t="shared" si="5"/>
        <v>10654.79</v>
      </c>
      <c r="F69" s="31">
        <f t="shared" si="6"/>
        <v>475.66</v>
      </c>
      <c r="G69" s="18">
        <f t="shared" si="7"/>
        <v>11130.45</v>
      </c>
      <c r="H69" s="18"/>
      <c r="I69" s="18"/>
      <c r="J69" s="18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5" customFormat="1" ht="11.25" hidden="1">
      <c r="A70" s="76" t="s">
        <v>60</v>
      </c>
      <c r="B70" s="76"/>
      <c r="C70" s="76"/>
      <c r="D70" s="30">
        <f t="shared" si="4"/>
        <v>42396</v>
      </c>
      <c r="E70" s="17">
        <f t="shared" si="5"/>
        <v>10654.79</v>
      </c>
      <c r="F70" s="31">
        <f t="shared" si="6"/>
        <v>475.66</v>
      </c>
      <c r="G70" s="18">
        <f t="shared" si="7"/>
        <v>11130.45</v>
      </c>
      <c r="H70" s="18"/>
      <c r="I70" s="18"/>
      <c r="J70" s="18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5" customFormat="1" ht="11.25" hidden="1">
      <c r="A71" s="76" t="s">
        <v>61</v>
      </c>
      <c r="B71" s="76"/>
      <c r="C71" s="76"/>
      <c r="D71" s="30">
        <f t="shared" si="4"/>
        <v>42427</v>
      </c>
      <c r="E71" s="17">
        <f t="shared" si="5"/>
        <v>10654.79</v>
      </c>
      <c r="F71" s="31">
        <f t="shared" si="6"/>
        <v>475.66</v>
      </c>
      <c r="G71" s="18">
        <f t="shared" si="7"/>
        <v>11130.45</v>
      </c>
      <c r="H71" s="18"/>
      <c r="I71" s="18"/>
      <c r="J71" s="18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5" customFormat="1" ht="11.25" hidden="1">
      <c r="A72" s="76" t="s">
        <v>62</v>
      </c>
      <c r="B72" s="76"/>
      <c r="C72" s="76"/>
      <c r="D72" s="30">
        <f t="shared" si="4"/>
        <v>42456</v>
      </c>
      <c r="E72" s="17">
        <f t="shared" si="5"/>
        <v>10654.79</v>
      </c>
      <c r="F72" s="31">
        <f t="shared" si="6"/>
        <v>475.66</v>
      </c>
      <c r="G72" s="18">
        <f t="shared" si="7"/>
        <v>11130.45</v>
      </c>
      <c r="H72" s="18"/>
      <c r="I72" s="18"/>
      <c r="J72" s="18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5" customFormat="1" ht="11.25" hidden="1">
      <c r="A73" s="76" t="s">
        <v>63</v>
      </c>
      <c r="B73" s="76"/>
      <c r="C73" s="76"/>
      <c r="D73" s="30">
        <f t="shared" si="4"/>
        <v>42487</v>
      </c>
      <c r="E73" s="17">
        <f t="shared" si="5"/>
        <v>10654.79</v>
      </c>
      <c r="F73" s="31">
        <f t="shared" si="6"/>
        <v>475.66</v>
      </c>
      <c r="G73" s="18">
        <f t="shared" si="7"/>
        <v>11130.45</v>
      </c>
      <c r="H73" s="18"/>
      <c r="I73" s="18"/>
      <c r="J73" s="18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5" customFormat="1" ht="11.25" hidden="1">
      <c r="A74" s="76" t="s">
        <v>64</v>
      </c>
      <c r="B74" s="76"/>
      <c r="C74" s="76"/>
      <c r="D74" s="30">
        <f t="shared" si="4"/>
        <v>42517</v>
      </c>
      <c r="E74" s="17">
        <f t="shared" si="5"/>
        <v>10654.829999999987</v>
      </c>
      <c r="F74" s="31">
        <f t="shared" si="6"/>
        <v>475.6700000000001</v>
      </c>
      <c r="G74" s="18">
        <f t="shared" si="7"/>
        <v>11130.499999999987</v>
      </c>
      <c r="H74" s="18"/>
      <c r="I74" s="18"/>
      <c r="J74" s="18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5" customFormat="1" ht="11.25" hidden="1">
      <c r="A75" s="76" t="s">
        <v>65</v>
      </c>
      <c r="B75" s="76"/>
      <c r="C75" s="76"/>
      <c r="D75" s="30" t="str">
        <f t="shared" si="4"/>
        <v> </v>
      </c>
      <c r="E75" s="17" t="str">
        <f t="shared" si="5"/>
        <v> </v>
      </c>
      <c r="F75" s="31" t="str">
        <f t="shared" si="6"/>
        <v> </v>
      </c>
      <c r="G75" s="18" t="str">
        <f t="shared" si="7"/>
        <v> </v>
      </c>
      <c r="H75" s="18" t="e">
        <f t="shared" si="7"/>
        <v>#VALUE!</v>
      </c>
      <c r="I75" s="18" t="e">
        <f t="shared" si="7"/>
        <v>#VALUE!</v>
      </c>
      <c r="J75" s="18" t="e">
        <f t="shared" si="7"/>
        <v>#VALUE!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5" customFormat="1" ht="11.25" hidden="1">
      <c r="A76" s="76" t="s">
        <v>66</v>
      </c>
      <c r="B76" s="76"/>
      <c r="C76" s="76"/>
      <c r="D76" s="30" t="str">
        <f t="shared" si="4"/>
        <v> </v>
      </c>
      <c r="E76" s="17" t="str">
        <f t="shared" si="5"/>
        <v> </v>
      </c>
      <c r="F76" s="31" t="str">
        <f t="shared" si="6"/>
        <v> </v>
      </c>
      <c r="G76" s="18" t="str">
        <f t="shared" si="7"/>
        <v> </v>
      </c>
      <c r="H76" s="18" t="e">
        <f t="shared" si="7"/>
        <v>#VALUE!</v>
      </c>
      <c r="I76" s="18" t="e">
        <f t="shared" si="7"/>
        <v>#VALUE!</v>
      </c>
      <c r="J76" s="18" t="e">
        <f t="shared" si="7"/>
        <v>#VALUE!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5" customFormat="1" ht="11.25" hidden="1">
      <c r="A77" s="76" t="s">
        <v>67</v>
      </c>
      <c r="B77" s="76"/>
      <c r="C77" s="76"/>
      <c r="D77" s="30" t="str">
        <f t="shared" si="4"/>
        <v> </v>
      </c>
      <c r="E77" s="17" t="str">
        <f t="shared" si="5"/>
        <v> </v>
      </c>
      <c r="F77" s="31" t="str">
        <f t="shared" si="6"/>
        <v> </v>
      </c>
      <c r="G77" s="18" t="str">
        <f t="shared" si="7"/>
        <v> </v>
      </c>
      <c r="H77" s="18" t="e">
        <f t="shared" si="7"/>
        <v>#VALUE!</v>
      </c>
      <c r="I77" s="18" t="e">
        <f t="shared" si="7"/>
        <v>#VALUE!</v>
      </c>
      <c r="J77" s="18" t="e">
        <f t="shared" si="7"/>
        <v>#VALUE!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5" customFormat="1" ht="11.25" hidden="1">
      <c r="A78" s="76" t="s">
        <v>68</v>
      </c>
      <c r="B78" s="76"/>
      <c r="C78" s="76"/>
      <c r="D78" s="30" t="str">
        <f t="shared" si="4"/>
        <v> </v>
      </c>
      <c r="E78" s="17" t="str">
        <f t="shared" si="5"/>
        <v> </v>
      </c>
      <c r="F78" s="31" t="str">
        <f t="shared" si="6"/>
        <v> </v>
      </c>
      <c r="G78" s="18" t="str">
        <f t="shared" si="7"/>
        <v> </v>
      </c>
      <c r="H78" s="18" t="e">
        <f t="shared" si="7"/>
        <v>#VALUE!</v>
      </c>
      <c r="I78" s="18" t="e">
        <f t="shared" si="7"/>
        <v>#VALUE!</v>
      </c>
      <c r="J78" s="18" t="e">
        <f t="shared" si="7"/>
        <v>#VALUE!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5" customFormat="1" ht="11.25" hidden="1">
      <c r="A79" s="76" t="s">
        <v>69</v>
      </c>
      <c r="B79" s="76"/>
      <c r="C79" s="76"/>
      <c r="D79" s="30" t="str">
        <f t="shared" si="4"/>
        <v> </v>
      </c>
      <c r="E79" s="17" t="str">
        <f t="shared" si="5"/>
        <v> </v>
      </c>
      <c r="F79" s="31" t="str">
        <f t="shared" si="6"/>
        <v> </v>
      </c>
      <c r="G79" s="18" t="str">
        <f t="shared" si="7"/>
        <v> </v>
      </c>
      <c r="H79" s="18" t="e">
        <f t="shared" si="7"/>
        <v>#VALUE!</v>
      </c>
      <c r="I79" s="18" t="e">
        <f t="shared" si="7"/>
        <v>#VALUE!</v>
      </c>
      <c r="J79" s="18" t="e">
        <f t="shared" si="7"/>
        <v>#VALUE!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5" customFormat="1" ht="11.25" hidden="1">
      <c r="A80" s="76" t="s">
        <v>70</v>
      </c>
      <c r="B80" s="76"/>
      <c r="C80" s="76"/>
      <c r="D80" s="30" t="str">
        <f t="shared" si="4"/>
        <v> </v>
      </c>
      <c r="E80" s="17" t="str">
        <f t="shared" si="5"/>
        <v> </v>
      </c>
      <c r="F80" s="31" t="str">
        <f t="shared" si="6"/>
        <v> </v>
      </c>
      <c r="G80" s="18" t="str">
        <f t="shared" si="7"/>
        <v> </v>
      </c>
      <c r="H80" s="18" t="e">
        <f t="shared" si="7"/>
        <v>#VALUE!</v>
      </c>
      <c r="I80" s="18" t="e">
        <f t="shared" si="7"/>
        <v>#VALUE!</v>
      </c>
      <c r="J80" s="18" t="e">
        <f t="shared" si="7"/>
        <v>#VALUE!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5" customFormat="1" ht="11.25" hidden="1">
      <c r="A81" s="76" t="s">
        <v>71</v>
      </c>
      <c r="B81" s="76"/>
      <c r="C81" s="76"/>
      <c r="D81" s="30" t="str">
        <f aca="true" t="shared" si="8" ref="D81:D86">IF($A$50&lt;VALUE(LEFT(A81,2))," ",DATE(YEAR(D80+30),MONTH(D80+30),DAY(D80)))</f>
        <v> </v>
      </c>
      <c r="E81" s="17" t="str">
        <f t="shared" si="5"/>
        <v> </v>
      </c>
      <c r="F81" s="31" t="str">
        <f t="shared" si="6"/>
        <v> </v>
      </c>
      <c r="G81" s="18" t="str">
        <f t="shared" si="7"/>
        <v> </v>
      </c>
      <c r="H81" s="18" t="e">
        <f t="shared" si="7"/>
        <v>#VALUE!</v>
      </c>
      <c r="I81" s="18" t="e">
        <f t="shared" si="7"/>
        <v>#VALUE!</v>
      </c>
      <c r="J81" s="18" t="e">
        <f t="shared" si="7"/>
        <v>#VALUE!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5" customFormat="1" ht="11.25" hidden="1">
      <c r="A82" s="76" t="s">
        <v>72</v>
      </c>
      <c r="B82" s="76"/>
      <c r="C82" s="76"/>
      <c r="D82" s="30" t="str">
        <f t="shared" si="8"/>
        <v> </v>
      </c>
      <c r="E82" s="17" t="str">
        <f t="shared" si="5"/>
        <v> </v>
      </c>
      <c r="F82" s="31" t="str">
        <f t="shared" si="6"/>
        <v> </v>
      </c>
      <c r="G82" s="18" t="str">
        <f t="shared" si="7"/>
        <v> </v>
      </c>
      <c r="H82" s="18" t="e">
        <f t="shared" si="7"/>
        <v>#VALUE!</v>
      </c>
      <c r="I82" s="18" t="e">
        <f t="shared" si="7"/>
        <v>#VALUE!</v>
      </c>
      <c r="J82" s="18" t="e">
        <f t="shared" si="7"/>
        <v>#VALUE!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5" customFormat="1" ht="11.25" hidden="1">
      <c r="A83" s="76" t="s">
        <v>73</v>
      </c>
      <c r="B83" s="76"/>
      <c r="C83" s="76"/>
      <c r="D83" s="30" t="str">
        <f t="shared" si="8"/>
        <v> </v>
      </c>
      <c r="E83" s="17" t="str">
        <f t="shared" si="5"/>
        <v> </v>
      </c>
      <c r="F83" s="31" t="str">
        <f t="shared" si="6"/>
        <v> </v>
      </c>
      <c r="G83" s="18" t="str">
        <f t="shared" si="7"/>
        <v> </v>
      </c>
      <c r="H83" s="18" t="e">
        <f t="shared" si="7"/>
        <v>#VALUE!</v>
      </c>
      <c r="I83" s="18" t="e">
        <f t="shared" si="7"/>
        <v>#VALUE!</v>
      </c>
      <c r="J83" s="18" t="e">
        <f t="shared" si="7"/>
        <v>#VALUE!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5" customFormat="1" ht="11.25" hidden="1">
      <c r="A84" s="76" t="s">
        <v>74</v>
      </c>
      <c r="B84" s="76"/>
      <c r="C84" s="76"/>
      <c r="D84" s="30" t="str">
        <f t="shared" si="8"/>
        <v> </v>
      </c>
      <c r="E84" s="17" t="str">
        <f t="shared" si="5"/>
        <v> </v>
      </c>
      <c r="F84" s="31" t="str">
        <f t="shared" si="6"/>
        <v> </v>
      </c>
      <c r="G84" s="18" t="str">
        <f t="shared" si="7"/>
        <v> </v>
      </c>
      <c r="H84" s="18" t="e">
        <f t="shared" si="7"/>
        <v>#VALUE!</v>
      </c>
      <c r="I84" s="18" t="e">
        <f t="shared" si="7"/>
        <v>#VALUE!</v>
      </c>
      <c r="J84" s="18" t="e">
        <f t="shared" si="7"/>
        <v>#VALUE!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5" customFormat="1" ht="11.25" hidden="1">
      <c r="A85" s="76" t="s">
        <v>75</v>
      </c>
      <c r="B85" s="76"/>
      <c r="C85" s="76"/>
      <c r="D85" s="30" t="str">
        <f t="shared" si="8"/>
        <v> </v>
      </c>
      <c r="E85" s="17" t="str">
        <f t="shared" si="5"/>
        <v> </v>
      </c>
      <c r="F85" s="31" t="str">
        <f t="shared" si="6"/>
        <v> </v>
      </c>
      <c r="G85" s="18" t="str">
        <f t="shared" si="7"/>
        <v> </v>
      </c>
      <c r="H85" s="18" t="e">
        <f t="shared" si="7"/>
        <v>#VALUE!</v>
      </c>
      <c r="I85" s="18" t="e">
        <f t="shared" si="7"/>
        <v>#VALUE!</v>
      </c>
      <c r="J85" s="18" t="e">
        <f t="shared" si="7"/>
        <v>#VALUE!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5" customFormat="1" ht="11.25" hidden="1">
      <c r="A86" s="76" t="s">
        <v>76</v>
      </c>
      <c r="B86" s="76"/>
      <c r="C86" s="76"/>
      <c r="D86" s="30" t="str">
        <f t="shared" si="8"/>
        <v> </v>
      </c>
      <c r="E86" s="17" t="str">
        <f t="shared" si="5"/>
        <v> </v>
      </c>
      <c r="F86" s="31" t="str">
        <f t="shared" si="6"/>
        <v> </v>
      </c>
      <c r="G86" s="18" t="str">
        <f t="shared" si="7"/>
        <v> </v>
      </c>
      <c r="H86" s="18" t="e">
        <f t="shared" si="7"/>
        <v>#VALUE!</v>
      </c>
      <c r="I86" s="18" t="e">
        <f t="shared" si="7"/>
        <v>#VALUE!</v>
      </c>
      <c r="J86" s="18" t="e">
        <f t="shared" si="7"/>
        <v>#VALUE!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s="5" customFormat="1" ht="11.25" hidden="1">
      <c r="A87" s="29"/>
      <c r="B87" s="29"/>
      <c r="C87" s="29"/>
      <c r="D87" s="30"/>
      <c r="E87" s="17"/>
      <c r="F87" s="31"/>
      <c r="G87" s="18"/>
      <c r="H87" s="18"/>
      <c r="I87" s="18"/>
      <c r="J87" s="18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s="5" customFormat="1" ht="11.25" hidden="1">
      <c r="A88" s="29"/>
      <c r="B88" s="29"/>
      <c r="C88" s="29"/>
      <c r="D88" s="30"/>
      <c r="E88" s="17"/>
      <c r="F88" s="31"/>
      <c r="G88" s="18"/>
      <c r="H88" s="18"/>
      <c r="I88" s="18"/>
      <c r="J88" s="18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s="5" customFormat="1" ht="11.25" hidden="1">
      <c r="A89" s="29"/>
      <c r="B89" s="29"/>
      <c r="C89" s="29"/>
      <c r="D89" s="30"/>
      <c r="E89" s="17"/>
      <c r="F89" s="31"/>
      <c r="G89" s="18"/>
      <c r="H89" s="18"/>
      <c r="I89" s="18"/>
      <c r="J89" s="18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s="5" customFormat="1" ht="11.25">
      <c r="A90" s="29"/>
      <c r="B90" s="29"/>
      <c r="C90" s="29"/>
      <c r="D90" s="30"/>
      <c r="E90" s="17"/>
      <c r="F90" s="31"/>
      <c r="G90" s="18"/>
      <c r="H90" s="18"/>
      <c r="I90" s="18"/>
      <c r="J90" s="18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5" customFormat="1" ht="11.25">
      <c r="A91" s="3" t="s">
        <v>77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5" customFormat="1" ht="11.25">
      <c r="A92" s="4"/>
      <c r="B92" s="4" t="s">
        <v>88</v>
      </c>
      <c r="C92" s="4"/>
      <c r="D92" s="4"/>
      <c r="E92" s="4"/>
      <c r="F92" s="32" t="e">
        <f>DATE(YEAR(MAX(D51:D85)+30),MONTH(MAX(D51:D85)+30),DAY(#REF!))</f>
        <v>#REF!</v>
      </c>
      <c r="G92" s="33">
        <f>((G27+G28)*((100-A36)/100))+(G32*(100-A36)/100)</f>
        <v>2137046.7862857142</v>
      </c>
      <c r="H92" s="33">
        <f>H33*80%</f>
        <v>3120753.535714286</v>
      </c>
      <c r="I92" s="33">
        <f>I33*80%</f>
        <v>3570614.357142857</v>
      </c>
      <c r="J92" s="33">
        <f>J33*80%</f>
        <v>3820075.071428571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s="5" customFormat="1" ht="11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5" customFormat="1" ht="11.25">
      <c r="A94" s="4"/>
      <c r="B94" s="3" t="s">
        <v>92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s="5" customFormat="1" ht="11.25">
      <c r="A95" s="4"/>
      <c r="B95" s="4" t="s">
        <v>89</v>
      </c>
      <c r="C95" s="4"/>
      <c r="D95" s="4"/>
      <c r="E95" s="4"/>
      <c r="F95" s="4"/>
      <c r="G95" s="40">
        <f>G92*0.0198012</f>
        <v>42316.09082460069</v>
      </c>
      <c r="H95" s="40">
        <f>H92*0.0198012</f>
        <v>61794.66491138572</v>
      </c>
      <c r="I95" s="40">
        <f>I92*0.0198012</f>
        <v>70702.44900865715</v>
      </c>
      <c r="J95" s="40">
        <f>J92*0.0198012</f>
        <v>75642.07050437143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s="5" customFormat="1" ht="11.25">
      <c r="A96" s="4"/>
      <c r="B96" s="4" t="s">
        <v>90</v>
      </c>
      <c r="C96" s="4"/>
      <c r="D96" s="4"/>
      <c r="E96" s="4"/>
      <c r="F96" s="4"/>
      <c r="G96" s="40">
        <f>G92*0.01266758</f>
        <v>27071.211129017185</v>
      </c>
      <c r="H96" s="40">
        <f>H92*0.01266758</f>
        <v>39532.395073943575</v>
      </c>
      <c r="I96" s="40">
        <f>I92*0.01266758</f>
        <v>45231.04301825571</v>
      </c>
      <c r="J96" s="40">
        <f>J92*0.01266758</f>
        <v>48391.10657332713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s="5" customFormat="1" ht="11.25">
      <c r="A97" s="4"/>
      <c r="B97" s="4" t="s">
        <v>91</v>
      </c>
      <c r="C97" s="4"/>
      <c r="D97" s="4"/>
      <c r="E97" s="4"/>
      <c r="F97" s="4"/>
      <c r="G97" s="40">
        <f>G92*0.01074605</f>
        <v>22964.8116177656</v>
      </c>
      <c r="H97" s="40">
        <f>H92*0.01074605</f>
        <v>33535.7735324625</v>
      </c>
      <c r="I97" s="40">
        <f>I92*0.01074605</f>
        <v>38370.000412575</v>
      </c>
      <c r="J97" s="40">
        <f>J92*0.01074605</f>
        <v>41050.717721324996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s="5" customFormat="1" ht="11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s="5" customFormat="1" ht="11.25">
      <c r="A99" s="3" t="s">
        <v>78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s="5" customFormat="1" ht="11.25">
      <c r="A100" s="4" t="s">
        <v>79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5" customFormat="1" ht="11.25">
      <c r="A101" s="4" t="s">
        <v>80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5" customFormat="1" ht="11.25">
      <c r="A102" s="4" t="s">
        <v>81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s="5" customFormat="1" ht="11.25">
      <c r="A103" s="4" t="s">
        <v>82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5" customFormat="1" ht="11.25">
      <c r="A104" s="77" t="s">
        <v>83</v>
      </c>
      <c r="B104" s="77"/>
      <c r="C104" s="77"/>
      <c r="D104" s="77"/>
      <c r="E104" s="77"/>
      <c r="F104" s="77"/>
      <c r="G104" s="77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s="5" customFormat="1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</sheetData>
  <sheetProtection/>
  <mergeCells count="44">
    <mergeCell ref="A55:C55"/>
    <mergeCell ref="A60:C60"/>
    <mergeCell ref="A71:C71"/>
    <mergeCell ref="A56:C56"/>
    <mergeCell ref="B50:C50"/>
    <mergeCell ref="A52:C52"/>
    <mergeCell ref="A68:C68"/>
    <mergeCell ref="A59:C59"/>
    <mergeCell ref="A86:C86"/>
    <mergeCell ref="A62:C62"/>
    <mergeCell ref="A72:C72"/>
    <mergeCell ref="A61:C61"/>
    <mergeCell ref="A84:C84"/>
    <mergeCell ref="A64:C64"/>
    <mergeCell ref="A82:C82"/>
    <mergeCell ref="A81:C81"/>
    <mergeCell ref="A69:C69"/>
    <mergeCell ref="A74:C74"/>
    <mergeCell ref="A3:J3"/>
    <mergeCell ref="A51:C51"/>
    <mergeCell ref="G50:J50"/>
    <mergeCell ref="A53:C53"/>
    <mergeCell ref="F6:G6"/>
    <mergeCell ref="A54:C54"/>
    <mergeCell ref="A85:C85"/>
    <mergeCell ref="A73:C73"/>
    <mergeCell ref="A66:C66"/>
    <mergeCell ref="A65:C65"/>
    <mergeCell ref="A1:J1"/>
    <mergeCell ref="A2:J2"/>
    <mergeCell ref="A4:J4"/>
    <mergeCell ref="A63:C63"/>
    <mergeCell ref="A57:C57"/>
    <mergeCell ref="A83:C83"/>
    <mergeCell ref="A80:C80"/>
    <mergeCell ref="A70:C70"/>
    <mergeCell ref="A79:C79"/>
    <mergeCell ref="A75:C75"/>
    <mergeCell ref="A104:G104"/>
    <mergeCell ref="A58:C58"/>
    <mergeCell ref="A67:C67"/>
    <mergeCell ref="A78:C78"/>
    <mergeCell ref="A77:C77"/>
    <mergeCell ref="A76:C76"/>
  </mergeCells>
  <conditionalFormatting sqref="B14 B28">
    <cfRule type="expression" priority="5" dxfId="71" stopIfTrue="1">
      <formula>G14=0</formula>
    </cfRule>
  </conditionalFormatting>
  <conditionalFormatting sqref="A52:C59">
    <cfRule type="expression" priority="6" dxfId="71" stopIfTrue="1">
      <formula>VALUE(NoDPSchedule)&lt;VALUE(LEFT(A52,1))</formula>
    </cfRule>
  </conditionalFormatting>
  <conditionalFormatting sqref="A60:C90">
    <cfRule type="expression" priority="7" dxfId="71" stopIfTrue="1">
      <formula>VALUE(NoDPSchedule)&lt;VALUE(LEFT(A60,2))</formula>
    </cfRule>
  </conditionalFormatting>
  <conditionalFormatting sqref="G14 G28">
    <cfRule type="expression" priority="8" dxfId="71" stopIfTrue="1">
      <formula>G14=0</formula>
    </cfRule>
  </conditionalFormatting>
  <conditionalFormatting sqref="H14 H28">
    <cfRule type="expression" priority="4" dxfId="71" stopIfTrue="1">
      <formula>H14=0</formula>
    </cfRule>
  </conditionalFormatting>
  <conditionalFormatting sqref="I14">
    <cfRule type="expression" priority="3" dxfId="71" stopIfTrue="1">
      <formula>I14=0</formula>
    </cfRule>
  </conditionalFormatting>
  <conditionalFormatting sqref="J14">
    <cfRule type="expression" priority="2" dxfId="71" stopIfTrue="1">
      <formula>J14=0</formula>
    </cfRule>
  </conditionalFormatting>
  <conditionalFormatting sqref="I28:J28">
    <cfRule type="expression" priority="1" dxfId="71" stopIfTrue="1">
      <formula>I28=0</formula>
    </cfRule>
  </conditionalFormatting>
  <printOptions horizontalCentered="1"/>
  <pageMargins left="0.12" right="0.2" top="0.5" bottom="0.5" header="0.5" footer="0.5"/>
  <pageSetup fitToHeight="1" fitToWidth="1" horizontalDpi="300" verticalDpi="3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IV107"/>
  <sheetViews>
    <sheetView tabSelected="1" zoomScalePageLayoutView="0" workbookViewId="0" topLeftCell="A1">
      <selection activeCell="G94" sqref="G94"/>
    </sheetView>
  </sheetViews>
  <sheetFormatPr defaultColWidth="12.375" defaultRowHeight="12.75" customHeight="1"/>
  <cols>
    <col min="1" max="1" width="12.375" style="1" customWidth="1"/>
    <col min="2" max="2" width="9.375" style="1" customWidth="1"/>
    <col min="3" max="3" width="11.25390625" style="1" customWidth="1"/>
    <col min="4" max="4" width="16.375" style="1" customWidth="1"/>
    <col min="5" max="5" width="38.125" style="1" hidden="1" customWidth="1"/>
    <col min="6" max="6" width="12.375" style="1" hidden="1" customWidth="1"/>
    <col min="7" max="7" width="18.625" style="1" customWidth="1"/>
    <col min="8" max="8" width="1.625" style="1" customWidth="1"/>
    <col min="9" max="9" width="18.625" style="1" customWidth="1"/>
    <col min="10" max="10" width="1.625" style="1" customWidth="1"/>
    <col min="11" max="11" width="18.625" style="1" customWidth="1"/>
    <col min="12" max="12" width="1.625" style="1" customWidth="1"/>
    <col min="13" max="13" width="18.625" style="1" customWidth="1"/>
    <col min="14" max="14" width="12.625" style="1" bestFit="1" customWidth="1"/>
    <col min="15" max="15" width="14.375" style="1" bestFit="1" customWidth="1"/>
    <col min="16" max="16384" width="12.375" style="1" customWidth="1"/>
  </cols>
  <sheetData>
    <row r="1" ht="15" customHeight="1" thickBot="1">
      <c r="A1" s="46"/>
    </row>
    <row r="2" spans="1:13" ht="15.75" customHeight="1" thickTop="1">
      <c r="A2" s="78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ht="14.25" customHeight="1">
      <c r="A3" s="81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3" ht="30" customHeight="1">
      <c r="A4" s="87" t="s">
        <v>102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</row>
    <row r="5" spans="1:13" ht="13.5" customHeight="1" thickBot="1">
      <c r="A5" s="84" t="s">
        <v>100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7:13" ht="13.5" customHeight="1" thickTop="1">
      <c r="G6" s="2"/>
      <c r="H6" s="2"/>
      <c r="I6" s="2"/>
      <c r="J6" s="2"/>
      <c r="K6" s="2"/>
      <c r="L6" s="2"/>
      <c r="M6" s="2"/>
    </row>
    <row r="7" spans="1:256" s="5" customFormat="1" ht="13.5" customHeight="1">
      <c r="A7" s="7"/>
      <c r="B7" s="7"/>
      <c r="C7" s="8" t="s">
        <v>9</v>
      </c>
      <c r="D7" s="8"/>
      <c r="E7" s="4"/>
      <c r="F7" s="91" t="s">
        <v>10</v>
      </c>
      <c r="G7" s="91"/>
      <c r="H7" s="8"/>
      <c r="I7" s="34" t="s">
        <v>122</v>
      </c>
      <c r="J7" s="8"/>
      <c r="K7" s="35" t="s">
        <v>123</v>
      </c>
      <c r="L7" s="8"/>
      <c r="M7" s="36" t="s">
        <v>124</v>
      </c>
      <c r="N7" s="18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5" customFormat="1" ht="11.25">
      <c r="A8" s="7"/>
      <c r="B8" s="7"/>
      <c r="C8" s="8" t="s">
        <v>4</v>
      </c>
      <c r="D8" s="7"/>
      <c r="E8" s="4"/>
      <c r="F8" s="7"/>
      <c r="G8" s="57">
        <v>1</v>
      </c>
      <c r="H8" s="7"/>
      <c r="I8" s="7">
        <v>1</v>
      </c>
      <c r="J8" s="7"/>
      <c r="K8" s="7">
        <v>1</v>
      </c>
      <c r="L8" s="7"/>
      <c r="M8" s="7">
        <v>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5" customFormat="1" ht="11.25">
      <c r="A9" s="7"/>
      <c r="B9" s="7"/>
      <c r="C9" s="8" t="s">
        <v>5</v>
      </c>
      <c r="D9" s="7"/>
      <c r="E9" s="4"/>
      <c r="F9" s="7"/>
      <c r="G9" s="57">
        <v>14</v>
      </c>
      <c r="H9" s="7"/>
      <c r="I9" s="7">
        <v>12</v>
      </c>
      <c r="J9" s="7"/>
      <c r="K9" s="7">
        <v>19</v>
      </c>
      <c r="L9" s="7"/>
      <c r="M9" s="7">
        <v>32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5" customFormat="1" ht="11.25">
      <c r="A10" s="4"/>
      <c r="B10" s="4"/>
      <c r="C10" s="8" t="s">
        <v>6</v>
      </c>
      <c r="D10" s="4"/>
      <c r="E10" s="4"/>
      <c r="F10" s="7"/>
      <c r="G10" s="57">
        <v>26</v>
      </c>
      <c r="H10" s="7"/>
      <c r="I10" s="7">
        <v>11</v>
      </c>
      <c r="J10" s="7"/>
      <c r="K10" s="7">
        <v>15</v>
      </c>
      <c r="L10" s="7"/>
      <c r="M10" s="7">
        <v>16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5" customFormat="1" ht="12.75" customHeight="1">
      <c r="A11" s="4"/>
      <c r="B11" s="4"/>
      <c r="C11" s="8" t="s">
        <v>7</v>
      </c>
      <c r="D11" s="4"/>
      <c r="E11" s="4"/>
      <c r="F11" s="7"/>
      <c r="G11" s="57">
        <v>133</v>
      </c>
      <c r="H11" s="7"/>
      <c r="I11" s="7">
        <v>128</v>
      </c>
      <c r="J11" s="7"/>
      <c r="K11" s="7">
        <v>128</v>
      </c>
      <c r="L11" s="7"/>
      <c r="M11" s="7">
        <v>172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5" customFormat="1" ht="12.75" customHeight="1">
      <c r="A12" s="4"/>
      <c r="B12" s="4"/>
      <c r="C12" s="8" t="s">
        <v>8</v>
      </c>
      <c r="D12" s="4"/>
      <c r="E12" s="4"/>
      <c r="F12" s="7"/>
      <c r="G12" s="57" t="s">
        <v>11</v>
      </c>
      <c r="H12" s="7"/>
      <c r="I12" s="7">
        <v>52</v>
      </c>
      <c r="J12" s="7"/>
      <c r="K12" s="7">
        <v>67</v>
      </c>
      <c r="L12" s="7"/>
      <c r="M12" s="7">
        <v>85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5" customFormat="1" ht="12.75" customHeight="1">
      <c r="A13" s="4"/>
      <c r="B13" s="4"/>
      <c r="C13" s="4"/>
      <c r="D13" s="47"/>
      <c r="E13" s="4"/>
      <c r="F13" s="7"/>
      <c r="G13" s="57"/>
      <c r="H13" s="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5" customFormat="1" ht="11.25">
      <c r="A14" s="10" t="s">
        <v>12</v>
      </c>
      <c r="B14" s="10"/>
      <c r="C14" s="11"/>
      <c r="D14" s="12"/>
      <c r="E14" s="12"/>
      <c r="F14" s="13" t="s">
        <v>13</v>
      </c>
      <c r="G14" s="14">
        <v>3412000</v>
      </c>
      <c r="H14" s="43"/>
      <c r="I14" s="14">
        <v>5827000</v>
      </c>
      <c r="J14" s="43"/>
      <c r="K14" s="14">
        <v>6183000</v>
      </c>
      <c r="L14" s="43"/>
      <c r="M14" s="14">
        <v>7410000</v>
      </c>
      <c r="N14" s="18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5" customFormat="1" ht="11.25">
      <c r="A15" s="4" t="s">
        <v>14</v>
      </c>
      <c r="B15" s="4" t="s">
        <v>15</v>
      </c>
      <c r="C15" s="15"/>
      <c r="D15" s="18"/>
      <c r="E15" s="4"/>
      <c r="F15" s="16"/>
      <c r="G15" s="17">
        <f>IF(ISERROR(FIND("LOT ONLY",Model,1)),IF(SellingPrice&gt;3199200,(G14-(G14/1.12)),0),IF(SellingPrice&gt;1919500,(G14-(G14/1.12)),0))</f>
        <v>365571.42857142864</v>
      </c>
      <c r="H15" s="17"/>
      <c r="I15" s="17">
        <f>IF(ISERROR(FIND("LOT ONLY",Model,1)),IF(SellingPrice&gt;3199200,(I14-(I14/1.12)),0),IF(SellingPrice&gt;1919500,(I14-(I14/1.12)),0))</f>
        <v>624321.4285714291</v>
      </c>
      <c r="J15" s="17"/>
      <c r="K15" s="17">
        <f>IF(ISERROR(FIND("LOT ONLY",Model,1)),IF(SellingPrice&gt;3199200,(K14-(K14/1.12)),0),IF(SellingPrice&gt;1919500,(K14-(K14/1.12)),0))</f>
        <v>662464.2857142864</v>
      </c>
      <c r="L15" s="17"/>
      <c r="M15" s="17">
        <f>IF(ISERROR(FIND("LOT ONLY",Model,1)),IF(SellingPrice&gt;3199200,(M14-(M14/1.12)),0),IF(SellingPrice&gt;1919500,(M14-(M14/1.12)),0))</f>
        <v>793928.5714285718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5" customFormat="1" ht="11.25">
      <c r="A16" s="6">
        <v>10</v>
      </c>
      <c r="B16" s="4" t="s">
        <v>109</v>
      </c>
      <c r="C16" s="4"/>
      <c r="D16" s="18"/>
      <c r="E16" s="4"/>
      <c r="F16" s="16"/>
      <c r="G16" s="18">
        <f>(G14-G15)*(PercentageDiscount/100)*(SpotDownpayment/100)</f>
        <v>30464.285714285717</v>
      </c>
      <c r="H16" s="18"/>
      <c r="I16" s="18">
        <f>(I14-I15)*(PercentageDiscount/100)*(SpotDownpayment/100)</f>
        <v>52026.78571428571</v>
      </c>
      <c r="J16" s="18"/>
      <c r="K16" s="18">
        <f>(K14-K15)*(PercentageDiscount/100)*(SpotDownpayment/100)</f>
        <v>55205.357142857145</v>
      </c>
      <c r="L16" s="18"/>
      <c r="M16" s="18">
        <f>(M14-M15)*(PercentageDiscount/100)*(SpotDownpayment/100)</f>
        <v>66160.71428571429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5" customFormat="1" ht="11.25" hidden="1">
      <c r="A17" s="4"/>
      <c r="B17" s="4" t="s">
        <v>16</v>
      </c>
      <c r="C17" s="4"/>
      <c r="D17" s="4"/>
      <c r="E17" s="4"/>
      <c r="F17" s="4"/>
      <c r="G17" s="18"/>
      <c r="H17" s="18"/>
      <c r="I17" s="18"/>
      <c r="J17" s="18"/>
      <c r="K17" s="18"/>
      <c r="L17" s="18"/>
      <c r="M17" s="18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11.25" hidden="1">
      <c r="A18" s="4"/>
      <c r="B18" s="4" t="s">
        <v>17</v>
      </c>
      <c r="C18" s="4"/>
      <c r="D18" s="4"/>
      <c r="E18" s="4"/>
      <c r="F18" s="4"/>
      <c r="G18" s="18"/>
      <c r="H18" s="18"/>
      <c r="I18" s="18"/>
      <c r="J18" s="18"/>
      <c r="K18" s="18"/>
      <c r="L18" s="18"/>
      <c r="M18" s="1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1.25" hidden="1">
      <c r="A19" s="4"/>
      <c r="B19" s="4" t="s">
        <v>18</v>
      </c>
      <c r="C19" s="4"/>
      <c r="D19" s="4"/>
      <c r="E19" s="4"/>
      <c r="F19" s="4"/>
      <c r="G19" s="18"/>
      <c r="H19" s="18"/>
      <c r="I19" s="18"/>
      <c r="J19" s="18"/>
      <c r="K19" s="18"/>
      <c r="L19" s="18"/>
      <c r="M19" s="18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1.25" hidden="1">
      <c r="A20" s="4"/>
      <c r="B20" s="4" t="s">
        <v>113</v>
      </c>
      <c r="C20" s="4"/>
      <c r="D20" s="41"/>
      <c r="E20" s="4"/>
      <c r="F20" s="4"/>
      <c r="G20" s="18"/>
      <c r="H20" s="18"/>
      <c r="I20" s="18"/>
      <c r="J20" s="18"/>
      <c r="K20" s="18"/>
      <c r="L20" s="18"/>
      <c r="M20" s="18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1.25" hidden="1">
      <c r="A21" s="4"/>
      <c r="B21" s="4" t="s">
        <v>20</v>
      </c>
      <c r="C21" s="4"/>
      <c r="D21" s="41"/>
      <c r="E21" s="4"/>
      <c r="F21" s="4"/>
      <c r="G21" s="18"/>
      <c r="H21" s="18"/>
      <c r="I21" s="18"/>
      <c r="J21" s="18"/>
      <c r="K21" s="18"/>
      <c r="L21" s="18"/>
      <c r="M21" s="18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1.25" hidden="1">
      <c r="A22" s="4"/>
      <c r="B22" s="59" t="s">
        <v>121</v>
      </c>
      <c r="C22" s="60"/>
      <c r="D22" s="60"/>
      <c r="E22" s="4"/>
      <c r="F22" s="4"/>
      <c r="G22" s="18"/>
      <c r="H22" s="18"/>
      <c r="I22" s="18"/>
      <c r="J22" s="18"/>
      <c r="K22" s="18"/>
      <c r="L22" s="18"/>
      <c r="M22" s="1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1.25" customHeight="1" hidden="1">
      <c r="A23" s="4"/>
      <c r="B23" s="4" t="s">
        <v>21</v>
      </c>
      <c r="C23" s="4"/>
      <c r="D23" s="4"/>
      <c r="E23" s="4"/>
      <c r="F23" s="4"/>
      <c r="G23" s="18">
        <v>0</v>
      </c>
      <c r="H23" s="18"/>
      <c r="I23" s="18">
        <v>0</v>
      </c>
      <c r="J23" s="18"/>
      <c r="K23" s="18">
        <v>0</v>
      </c>
      <c r="L23" s="18"/>
      <c r="M23" s="18">
        <v>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1.25" customHeight="1" hidden="1">
      <c r="A24" s="4"/>
      <c r="B24" s="4" t="s">
        <v>22</v>
      </c>
      <c r="C24" s="4"/>
      <c r="D24" s="4"/>
      <c r="E24" s="4"/>
      <c r="F24" s="4"/>
      <c r="G24" s="18">
        <v>0</v>
      </c>
      <c r="H24" s="18"/>
      <c r="I24" s="18">
        <v>0</v>
      </c>
      <c r="J24" s="18"/>
      <c r="K24" s="18">
        <v>0</v>
      </c>
      <c r="L24" s="18"/>
      <c r="M24" s="18">
        <v>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1.25" customHeight="1" hidden="1">
      <c r="A25" s="4"/>
      <c r="B25" s="4" t="s">
        <v>99</v>
      </c>
      <c r="C25" s="4"/>
      <c r="D25" s="4"/>
      <c r="E25" s="4"/>
      <c r="F25" s="4"/>
      <c r="G25" s="18">
        <v>0</v>
      </c>
      <c r="H25" s="18"/>
      <c r="I25" s="18">
        <v>0</v>
      </c>
      <c r="J25" s="18"/>
      <c r="K25" s="18">
        <v>0</v>
      </c>
      <c r="L25" s="18"/>
      <c r="M25" s="18">
        <v>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1.25" customHeight="1" hidden="1">
      <c r="A26" s="4"/>
      <c r="B26" s="4" t="s">
        <v>24</v>
      </c>
      <c r="C26" s="4"/>
      <c r="D26" s="4"/>
      <c r="E26" s="4"/>
      <c r="F26" s="4"/>
      <c r="G26" s="18">
        <v>0</v>
      </c>
      <c r="H26" s="18"/>
      <c r="I26" s="18">
        <v>0</v>
      </c>
      <c r="J26" s="18"/>
      <c r="K26" s="18">
        <v>0</v>
      </c>
      <c r="L26" s="18"/>
      <c r="M26" s="18">
        <v>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1.25" customHeight="1" hidden="1">
      <c r="A27" s="4"/>
      <c r="B27" s="4" t="s">
        <v>25</v>
      </c>
      <c r="C27" s="4"/>
      <c r="D27" s="4"/>
      <c r="E27" s="4"/>
      <c r="F27" s="4"/>
      <c r="G27" s="18">
        <v>0</v>
      </c>
      <c r="H27" s="18"/>
      <c r="I27" s="18">
        <v>0</v>
      </c>
      <c r="J27" s="18"/>
      <c r="K27" s="18">
        <v>0</v>
      </c>
      <c r="L27" s="18"/>
      <c r="M27" s="18">
        <v>0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3.5" customHeight="1" thickBot="1">
      <c r="A28" s="4"/>
      <c r="B28" s="96"/>
      <c r="C28" s="96"/>
      <c r="D28" s="96"/>
      <c r="E28" s="4"/>
      <c r="F28" s="16"/>
      <c r="G28" s="19"/>
      <c r="H28" s="19"/>
      <c r="I28" s="19"/>
      <c r="J28" s="19"/>
      <c r="K28" s="19"/>
      <c r="L28" s="19"/>
      <c r="M28" s="19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3.5" customHeight="1" thickTop="1">
      <c r="A29" s="10" t="s">
        <v>26</v>
      </c>
      <c r="B29" s="20"/>
      <c r="C29" s="12"/>
      <c r="D29" s="12"/>
      <c r="E29" s="12"/>
      <c r="F29" s="13" t="s">
        <v>13</v>
      </c>
      <c r="G29" s="21">
        <f>(G14-G15)-SUM(G16:G27)</f>
        <v>3015964.2857142854</v>
      </c>
      <c r="H29" s="19"/>
      <c r="I29" s="21">
        <f>(I14-I15)-SUM(I16:I27)</f>
        <v>5150651.785714285</v>
      </c>
      <c r="J29" s="19"/>
      <c r="K29" s="21">
        <f>(K14-K15)-SUM(K16:K27)</f>
        <v>5465330.357142856</v>
      </c>
      <c r="L29" s="19"/>
      <c r="M29" s="21">
        <f>(M14-M15)-SUM(M16:M27)</f>
        <v>6549910.714285714</v>
      </c>
      <c r="N29" s="18"/>
      <c r="O29" s="58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1.25">
      <c r="A30" s="4" t="s">
        <v>27</v>
      </c>
      <c r="B30" s="4" t="s">
        <v>15</v>
      </c>
      <c r="C30" s="4"/>
      <c r="D30" s="4"/>
      <c r="E30" s="4"/>
      <c r="F30" s="4"/>
      <c r="G30" s="18">
        <f>G29*12%</f>
        <v>361915.71428571426</v>
      </c>
      <c r="H30" s="18"/>
      <c r="I30" s="18">
        <f>I29*12%</f>
        <v>618078.2142857142</v>
      </c>
      <c r="J30" s="18"/>
      <c r="K30" s="18">
        <f>K29*12%</f>
        <v>655839.6428571427</v>
      </c>
      <c r="L30" s="18"/>
      <c r="M30" s="18">
        <f>M29*12%</f>
        <v>785989.2857142856</v>
      </c>
      <c r="N30" s="4"/>
      <c r="O30" s="58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1.25" hidden="1">
      <c r="A31" s="6">
        <v>5</v>
      </c>
      <c r="B31" s="4" t="s">
        <v>28</v>
      </c>
      <c r="C31" s="4"/>
      <c r="D31" s="4"/>
      <c r="E31" s="4"/>
      <c r="F31" s="4"/>
      <c r="G31" s="18" t="e">
        <f>ROUND(G29*(#REF!/100),2)</f>
        <v>#REF!</v>
      </c>
      <c r="H31" s="18"/>
      <c r="I31" s="18" t="e">
        <f>ROUND(I29*(B31/100),2)</f>
        <v>#VALUE!</v>
      </c>
      <c r="J31" s="18"/>
      <c r="K31" s="18">
        <f>ROUND(K29*(C31/100),2)</f>
        <v>0</v>
      </c>
      <c r="L31" s="18"/>
      <c r="M31" s="18">
        <f>ROUND(M29*(D31/100),2)</f>
        <v>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1.25" hidden="1">
      <c r="A32" s="6"/>
      <c r="B32" s="4" t="s">
        <v>29</v>
      </c>
      <c r="C32" s="4"/>
      <c r="D32" s="4"/>
      <c r="E32" s="4"/>
      <c r="F32" s="6">
        <f>IF(G32&gt;50000,50000,G32)</f>
        <v>0</v>
      </c>
      <c r="G32" s="18">
        <v>0</v>
      </c>
      <c r="H32" s="18"/>
      <c r="I32" s="18">
        <v>0</v>
      </c>
      <c r="J32" s="18"/>
      <c r="K32" s="18">
        <v>0</v>
      </c>
      <c r="L32" s="18"/>
      <c r="M32" s="18">
        <v>0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1.25" hidden="1">
      <c r="A33" s="6"/>
      <c r="B33" s="4" t="s">
        <v>30</v>
      </c>
      <c r="C33" s="4"/>
      <c r="D33" s="4"/>
      <c r="E33" s="4"/>
      <c r="F33" s="4"/>
      <c r="G33" s="18">
        <v>0</v>
      </c>
      <c r="H33" s="18"/>
      <c r="I33" s="18">
        <v>0</v>
      </c>
      <c r="J33" s="18"/>
      <c r="K33" s="18">
        <v>0</v>
      </c>
      <c r="L33" s="18"/>
      <c r="M33" s="18">
        <v>0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3.5" customHeight="1" thickBot="1">
      <c r="A34" s="6"/>
      <c r="B34" s="4" t="s">
        <v>31</v>
      </c>
      <c r="C34" s="4"/>
      <c r="D34" s="4"/>
      <c r="E34" s="4"/>
      <c r="F34" s="4"/>
      <c r="G34" s="18">
        <f>G29*7%</f>
        <v>211117.5</v>
      </c>
      <c r="H34" s="18"/>
      <c r="I34" s="18">
        <f>I29*7%</f>
        <v>360545.625</v>
      </c>
      <c r="J34" s="18"/>
      <c r="K34" s="18">
        <f>K29*7%</f>
        <v>382573.125</v>
      </c>
      <c r="L34" s="18"/>
      <c r="M34" s="18">
        <f>M29*7%</f>
        <v>458493.75</v>
      </c>
      <c r="N34" s="4"/>
      <c r="O34" s="58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3.5" customHeight="1" thickTop="1">
      <c r="A35" s="10" t="s">
        <v>32</v>
      </c>
      <c r="B35" s="12"/>
      <c r="C35" s="12"/>
      <c r="D35" s="12"/>
      <c r="E35" s="12"/>
      <c r="F35" s="13" t="s">
        <v>13</v>
      </c>
      <c r="G35" s="21">
        <f>G29+SUM(G30,G34)</f>
        <v>3588997.5</v>
      </c>
      <c r="H35" s="19"/>
      <c r="I35" s="21">
        <f>I29+SUM(I30,I34)</f>
        <v>6129275.625</v>
      </c>
      <c r="J35" s="19"/>
      <c r="K35" s="21">
        <f>K29+SUM(K30,K34)</f>
        <v>6503743.124999999</v>
      </c>
      <c r="L35" s="19"/>
      <c r="M35" s="21">
        <f>M29+SUM(M30,M34)</f>
        <v>7794393.749999999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1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5" customFormat="1" ht="11.25">
      <c r="A37" s="3" t="s">
        <v>33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5" customFormat="1" ht="11.25">
      <c r="A38" s="22">
        <v>20</v>
      </c>
      <c r="B38" s="4" t="str">
        <f>CONCATENATE("Downpayment ("&amp;A38&amp;"% of Selling Price)")</f>
        <v>Downpayment (20% of Selling Price)</v>
      </c>
      <c r="C38" s="4"/>
      <c r="D38" s="4"/>
      <c r="E38" s="4"/>
      <c r="F38" s="4"/>
      <c r="G38" s="18">
        <f>ROUND((G29+G30)*(Downpayment/100),2)</f>
        <v>675576</v>
      </c>
      <c r="H38" s="18"/>
      <c r="I38" s="18">
        <f>ROUND((I29+I30)*(Downpayment/100),2)</f>
        <v>1153746</v>
      </c>
      <c r="J38" s="18"/>
      <c r="K38" s="18">
        <f>ROUND((K29+K30)*(Downpayment/100),2)</f>
        <v>1224234</v>
      </c>
      <c r="L38" s="18"/>
      <c r="M38" s="18">
        <f>ROUND((M29+M30)*(Downpayment/100),2)</f>
        <v>1467180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5" customFormat="1" ht="13.5" customHeight="1" thickBot="1">
      <c r="A39" s="3"/>
      <c r="B39" s="4" t="s">
        <v>34</v>
      </c>
      <c r="C39" s="4"/>
      <c r="D39" s="4"/>
      <c r="E39" s="4"/>
      <c r="F39" s="4"/>
      <c r="G39" s="18">
        <f>ROUND(G34*(Downpayment/100),2)</f>
        <v>42223.5</v>
      </c>
      <c r="H39" s="18"/>
      <c r="I39" s="18">
        <f>ROUND(I34*(Downpayment/100),2)</f>
        <v>72109.13</v>
      </c>
      <c r="J39" s="18"/>
      <c r="K39" s="18">
        <f>ROUND(K34*(Downpayment/100),2)</f>
        <v>76514.63</v>
      </c>
      <c r="L39" s="18"/>
      <c r="M39" s="18">
        <f>ROUND(M34*(Downpayment/100),2)</f>
        <v>91698.75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5" customFormat="1" ht="13.5" customHeight="1" thickTop="1">
      <c r="A40" s="10" t="s">
        <v>35</v>
      </c>
      <c r="B40" s="12"/>
      <c r="C40" s="12"/>
      <c r="D40" s="12"/>
      <c r="E40" s="12"/>
      <c r="F40" s="13" t="s">
        <v>13</v>
      </c>
      <c r="G40" s="21">
        <f>SUM(G38:G39)</f>
        <v>717799.5</v>
      </c>
      <c r="H40" s="19"/>
      <c r="I40" s="21">
        <f>SUM(I38:I39)</f>
        <v>1225855.13</v>
      </c>
      <c r="J40" s="19"/>
      <c r="K40" s="21">
        <f>SUM(K38:K39)</f>
        <v>1300748.63</v>
      </c>
      <c r="L40" s="19"/>
      <c r="M40" s="21">
        <f>SUM(M38:M39)</f>
        <v>1558878.75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5" customFormat="1" ht="13.5" customHeight="1" thickBot="1">
      <c r="A41" s="4" t="s">
        <v>14</v>
      </c>
      <c r="B41" s="61" t="s">
        <v>36</v>
      </c>
      <c r="C41" s="61"/>
      <c r="D41" s="62"/>
      <c r="E41" s="61"/>
      <c r="F41" s="63">
        <f>DATE(2014,5,28)</f>
        <v>41787</v>
      </c>
      <c r="G41" s="64">
        <v>20000</v>
      </c>
      <c r="H41" s="64"/>
      <c r="I41" s="64">
        <v>20000</v>
      </c>
      <c r="J41" s="64"/>
      <c r="K41" s="64">
        <v>20000</v>
      </c>
      <c r="L41" s="64"/>
      <c r="M41" s="64">
        <v>20000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5" customFormat="1" ht="13.5" customHeight="1" thickTop="1">
      <c r="A42" s="10" t="s">
        <v>37</v>
      </c>
      <c r="B42" s="12"/>
      <c r="C42" s="12"/>
      <c r="D42" s="12"/>
      <c r="E42" s="24"/>
      <c r="F42" s="13" t="s">
        <v>13</v>
      </c>
      <c r="G42" s="21">
        <f>G40-G41</f>
        <v>697799.5</v>
      </c>
      <c r="H42" s="19"/>
      <c r="I42" s="21">
        <f>I40-I41</f>
        <v>1205855.13</v>
      </c>
      <c r="J42" s="19"/>
      <c r="K42" s="21">
        <f>K40-K41</f>
        <v>1280748.63</v>
      </c>
      <c r="L42" s="19"/>
      <c r="M42" s="21">
        <f>M40-M41</f>
        <v>1538878.75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5" customFormat="1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5" customFormat="1" ht="11.25" hidden="1">
      <c r="A44" s="6">
        <v>10</v>
      </c>
      <c r="B44" s="41" t="str">
        <f>CONCATENATE("Spot Downpayment ("&amp;A44&amp;"% of Selling Price)")</f>
        <v>Spot Downpayment (10% of Selling Price)</v>
      </c>
      <c r="C44" s="4"/>
      <c r="D44" s="4"/>
      <c r="E44" s="9"/>
      <c r="F44" s="23"/>
      <c r="G44" s="18">
        <f>ROUND((SUM(G29:G30)*(SpotDownpayment/100))-G41,2)</f>
        <v>317788</v>
      </c>
      <c r="H44" s="18"/>
      <c r="I44" s="18">
        <f>ROUND((SUM(I29:I30)*(SpotDownpayment/100))-I41,2)</f>
        <v>556873</v>
      </c>
      <c r="J44" s="18"/>
      <c r="K44" s="18">
        <f>ROUND((SUM(K29:K30)*(SpotDownpayment/100))-K41,2)</f>
        <v>592117</v>
      </c>
      <c r="L44" s="18"/>
      <c r="M44" s="18">
        <f>ROUND((SUM(M29:M30)*(SpotDownpayment/100))-M41,2)</f>
        <v>713590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5" customFormat="1" ht="13.5" customHeight="1" hidden="1">
      <c r="A45" s="4"/>
      <c r="B45" s="4" t="s">
        <v>28</v>
      </c>
      <c r="C45" s="4"/>
      <c r="D45" s="4"/>
      <c r="E45" s="9"/>
      <c r="F45" s="23"/>
      <c r="G45" s="18">
        <f>ROUND(G34*(SpotDownpayment/100),2)</f>
        <v>21111.75</v>
      </c>
      <c r="H45" s="18"/>
      <c r="I45" s="18">
        <f>ROUND(I34*(SpotDownpayment/100),2)</f>
        <v>36054.56</v>
      </c>
      <c r="J45" s="18"/>
      <c r="K45" s="18">
        <f>ROUND(K34*(SpotDownpayment/100),2)</f>
        <v>38257.31</v>
      </c>
      <c r="L45" s="18"/>
      <c r="M45" s="18">
        <f>ROUND(M34*(SpotDownpayment/100),2)</f>
        <v>45849.38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5" customFormat="1" ht="13.5" customHeight="1">
      <c r="A46" s="61"/>
      <c r="B46" s="94" t="s">
        <v>103</v>
      </c>
      <c r="C46" s="94"/>
      <c r="D46" s="94"/>
      <c r="E46" s="65"/>
      <c r="F46" s="63">
        <f>ReservationDate+30</f>
        <v>41817</v>
      </c>
      <c r="G46" s="66">
        <f>ROUND(SUM(G44:G45),2)</f>
        <v>338899.75</v>
      </c>
      <c r="H46" s="66"/>
      <c r="I46" s="66">
        <f>ROUND(SUM(I44:I45),2)</f>
        <v>592927.56</v>
      </c>
      <c r="J46" s="66"/>
      <c r="K46" s="66">
        <f>ROUND(SUM(K44:K45),2)</f>
        <v>630374.31</v>
      </c>
      <c r="L46" s="66"/>
      <c r="M46" s="66">
        <f>ROUND(SUM(M44:M45),2)</f>
        <v>759439.38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5" customFormat="1" ht="11.25">
      <c r="A47" s="4"/>
      <c r="B47" s="3"/>
      <c r="C47" s="4"/>
      <c r="D47" s="4"/>
      <c r="E47" s="9"/>
      <c r="F47" s="23"/>
      <c r="G47" s="26"/>
      <c r="H47" s="26"/>
      <c r="I47" s="26"/>
      <c r="J47" s="26"/>
      <c r="K47" s="26"/>
      <c r="L47" s="26"/>
      <c r="M47" s="2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5" customFormat="1" ht="11.25" hidden="1">
      <c r="A48" s="6">
        <f>A38-A44</f>
        <v>10</v>
      </c>
      <c r="B48" s="41" t="str">
        <f>CONCATENATE("Streched Downpayment ("&amp;A48&amp;"% of Selling Price)")</f>
        <v>Streched Downpayment (10% of Selling Price)</v>
      </c>
      <c r="C48" s="4"/>
      <c r="D48" s="4"/>
      <c r="E48" s="9"/>
      <c r="F48" s="23"/>
      <c r="G48" s="18">
        <f>ROUND(G38-G44-G41,2)</f>
        <v>337788</v>
      </c>
      <c r="H48" s="18"/>
      <c r="I48" s="18">
        <f>ROUND(I38-I44-I41,2)</f>
        <v>576873</v>
      </c>
      <c r="J48" s="18"/>
      <c r="K48" s="18">
        <f>ROUND(K38-K44-K41,2)</f>
        <v>612117</v>
      </c>
      <c r="L48" s="18"/>
      <c r="M48" s="18">
        <f>ROUND(M38-M44-M41,2)</f>
        <v>733590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5" customFormat="1" ht="13.5" customHeight="1" hidden="1" thickBot="1">
      <c r="A49" s="4"/>
      <c r="B49" s="4" t="s">
        <v>28</v>
      </c>
      <c r="C49" s="4"/>
      <c r="D49" s="4"/>
      <c r="E49" s="9"/>
      <c r="F49" s="23"/>
      <c r="G49" s="18">
        <f>ROUND(G39-G45,2)</f>
        <v>21111.75</v>
      </c>
      <c r="H49" s="18"/>
      <c r="I49" s="18">
        <f>ROUND(I39-I45,2)</f>
        <v>36054.57</v>
      </c>
      <c r="J49" s="18"/>
      <c r="K49" s="18">
        <f>ROUND(K39-K45,2)</f>
        <v>38257.32</v>
      </c>
      <c r="L49" s="18"/>
      <c r="M49" s="18">
        <f>ROUND(M39-M45,2)</f>
        <v>45849.37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5" customFormat="1" ht="13.5" customHeight="1" hidden="1" thickTop="1">
      <c r="A50" s="4"/>
      <c r="B50" s="42" t="s">
        <v>93</v>
      </c>
      <c r="C50" s="4"/>
      <c r="D50" s="4"/>
      <c r="E50" s="9"/>
      <c r="F50" s="23"/>
      <c r="G50" s="25">
        <f>ROUND(SUM(G48:G49),2)</f>
        <v>358899.75</v>
      </c>
      <c r="H50" s="44"/>
      <c r="I50" s="25">
        <f>ROUND(SUM(I48:I49),2)</f>
        <v>612927.57</v>
      </c>
      <c r="J50" s="44"/>
      <c r="K50" s="25">
        <f>ROUND(SUM(K48:K49),2)</f>
        <v>650374.32</v>
      </c>
      <c r="L50" s="44"/>
      <c r="M50" s="25">
        <f>ROUND(SUM(M48:M49),2)</f>
        <v>779439.37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5" customFormat="1" ht="11.25" hidden="1">
      <c r="A51" s="4"/>
      <c r="B51" s="4"/>
      <c r="C51" s="4"/>
      <c r="D51" s="4"/>
      <c r="E51" s="9"/>
      <c r="F51" s="23"/>
      <c r="G51" s="26"/>
      <c r="H51" s="26"/>
      <c r="I51" s="26"/>
      <c r="J51" s="26"/>
      <c r="K51" s="26"/>
      <c r="L51" s="26"/>
      <c r="M51" s="2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5" customFormat="1" ht="21" customHeight="1">
      <c r="A52" s="95"/>
      <c r="B52" s="95"/>
      <c r="C52" s="95"/>
      <c r="D52" s="95"/>
      <c r="E52" s="27" t="s">
        <v>40</v>
      </c>
      <c r="F52" s="28" t="s">
        <v>28</v>
      </c>
      <c r="G52" s="90" t="s">
        <v>41</v>
      </c>
      <c r="H52" s="90"/>
      <c r="I52" s="90"/>
      <c r="J52" s="90"/>
      <c r="K52" s="90"/>
      <c r="L52" s="90"/>
      <c r="M52" s="90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5" customFormat="1" ht="14.25" customHeight="1">
      <c r="A53" s="93" t="s">
        <v>125</v>
      </c>
      <c r="B53" s="93"/>
      <c r="C53" s="93"/>
      <c r="D53" s="93"/>
      <c r="E53" s="67" t="e">
        <f>ROUND(G48/A52,2)</f>
        <v>#DIV/0!</v>
      </c>
      <c r="F53" s="68" t="e">
        <f>ROUND(G49/A52,2)</f>
        <v>#DIV/0!</v>
      </c>
      <c r="G53" s="64">
        <f>G50/18</f>
        <v>19938.875</v>
      </c>
      <c r="H53" s="64"/>
      <c r="I53" s="64">
        <f>I50/18</f>
        <v>34051.53166666666</v>
      </c>
      <c r="J53" s="64"/>
      <c r="K53" s="64">
        <f>K50/18</f>
        <v>36131.90666666666</v>
      </c>
      <c r="L53" s="64"/>
      <c r="M53" s="64">
        <f>M50/18</f>
        <v>43302.18722222222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5" customFormat="1" ht="11.25" hidden="1">
      <c r="A54" s="76" t="s">
        <v>42</v>
      </c>
      <c r="B54" s="76"/>
      <c r="C54" s="76"/>
      <c r="D54" s="30" t="str">
        <f>IF($A$52&lt;VALUE(LEFT(A54,1))," ",DATE(YEAR(D53+30),MONTH(D53+30),DAY(D53)))</f>
        <v> </v>
      </c>
      <c r="E54" s="17" t="str">
        <f aca="true" t="shared" si="0" ref="E54:E61">IF($A$52&lt;VALUE(LEFT(A54,1))," ",IF($A$52=VALUE(LEFT(A54,1)),$G$48-($E$53*($A$52-1)),E53))</f>
        <v> </v>
      </c>
      <c r="F54" s="31" t="str">
        <f aca="true" t="shared" si="1" ref="F54:F61">IF($A$52&lt;VALUE(LEFT(A54,1))," ",IF($A$52=VALUE(LEFT(A54,1)),$G$49-($F$53*($A$52-1)),F53))</f>
        <v> </v>
      </c>
      <c r="G54" s="18" t="str">
        <f>IF($A$52&lt;VALUE(LEFT(A54,1))," ",SUM(E54:F54))</f>
        <v> </v>
      </c>
      <c r="H54" s="18"/>
      <c r="I54" s="18">
        <v>22180.06</v>
      </c>
      <c r="J54" s="18"/>
      <c r="K54" s="18">
        <v>24795.93</v>
      </c>
      <c r="L54" s="18"/>
      <c r="M54" s="18">
        <v>28358.83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5" customFormat="1" ht="11.25" hidden="1">
      <c r="A55" s="76" t="s">
        <v>43</v>
      </c>
      <c r="B55" s="76"/>
      <c r="C55" s="76"/>
      <c r="D55" s="30" t="str">
        <f>IF($A$52&lt;VALUE(LEFT(A55,1))," ",DATE(YEAR(D54+30),MONTH(D54+30),DAY(D54)))</f>
        <v> </v>
      </c>
      <c r="E55" s="17" t="str">
        <f t="shared" si="0"/>
        <v> </v>
      </c>
      <c r="F55" s="31" t="str">
        <f t="shared" si="1"/>
        <v> </v>
      </c>
      <c r="G55" s="18" t="str">
        <f aca="true" t="shared" si="2" ref="G55:G61">IF($A$52&lt;VALUE(LEFT(A55,1))," ",SUM(E55:F55))</f>
        <v> </v>
      </c>
      <c r="H55" s="18"/>
      <c r="I55" s="18">
        <v>22180.06</v>
      </c>
      <c r="J55" s="18"/>
      <c r="K55" s="18">
        <v>24795.93</v>
      </c>
      <c r="L55" s="18"/>
      <c r="M55" s="18">
        <v>28358.83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5" customFormat="1" ht="11.25" hidden="1">
      <c r="A56" s="76" t="s">
        <v>44</v>
      </c>
      <c r="B56" s="76"/>
      <c r="C56" s="76"/>
      <c r="D56" s="30" t="str">
        <f aca="true" t="shared" si="3" ref="D56:D61">IF($A$52&lt;VALUE(LEFT(A56,1))," ",DATE(YEAR(D55+30),MONTH(D55+30),DAY(D55)))</f>
        <v> </v>
      </c>
      <c r="E56" s="17" t="str">
        <f t="shared" si="0"/>
        <v> </v>
      </c>
      <c r="F56" s="31" t="str">
        <f t="shared" si="1"/>
        <v> </v>
      </c>
      <c r="G56" s="18" t="str">
        <f t="shared" si="2"/>
        <v> </v>
      </c>
      <c r="H56" s="18"/>
      <c r="I56" s="18">
        <v>22180.06</v>
      </c>
      <c r="J56" s="18"/>
      <c r="K56" s="18">
        <v>24795.93</v>
      </c>
      <c r="L56" s="18"/>
      <c r="M56" s="18">
        <v>28358.83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5" customFormat="1" ht="11.25" hidden="1">
      <c r="A57" s="76" t="s">
        <v>45</v>
      </c>
      <c r="B57" s="76"/>
      <c r="C57" s="76"/>
      <c r="D57" s="30" t="str">
        <f t="shared" si="3"/>
        <v> </v>
      </c>
      <c r="E57" s="17" t="str">
        <f t="shared" si="0"/>
        <v> </v>
      </c>
      <c r="F57" s="31" t="str">
        <f t="shared" si="1"/>
        <v> </v>
      </c>
      <c r="G57" s="18" t="str">
        <f t="shared" si="2"/>
        <v> </v>
      </c>
      <c r="H57" s="18"/>
      <c r="I57" s="18">
        <v>22180.06</v>
      </c>
      <c r="J57" s="18"/>
      <c r="K57" s="18">
        <v>24795.93</v>
      </c>
      <c r="L57" s="18"/>
      <c r="M57" s="18">
        <v>28358.83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5" customFormat="1" ht="11.25" customHeight="1" hidden="1">
      <c r="A58" s="76" t="s">
        <v>46</v>
      </c>
      <c r="B58" s="76"/>
      <c r="C58" s="76"/>
      <c r="D58" s="30" t="str">
        <f t="shared" si="3"/>
        <v> </v>
      </c>
      <c r="E58" s="17" t="str">
        <f t="shared" si="0"/>
        <v> </v>
      </c>
      <c r="F58" s="31" t="str">
        <f t="shared" si="1"/>
        <v> </v>
      </c>
      <c r="G58" s="18" t="str">
        <f t="shared" si="2"/>
        <v> </v>
      </c>
      <c r="H58" s="18"/>
      <c r="I58" s="18">
        <v>22180.06</v>
      </c>
      <c r="J58" s="18"/>
      <c r="K58" s="18">
        <v>24795.93</v>
      </c>
      <c r="L58" s="18"/>
      <c r="M58" s="18">
        <v>28358.83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5" customFormat="1" ht="11.25" hidden="1">
      <c r="A59" s="76" t="s">
        <v>47</v>
      </c>
      <c r="B59" s="76"/>
      <c r="C59" s="76"/>
      <c r="D59" s="30" t="str">
        <f t="shared" si="3"/>
        <v> </v>
      </c>
      <c r="E59" s="17" t="str">
        <f t="shared" si="0"/>
        <v> </v>
      </c>
      <c r="F59" s="31" t="str">
        <f t="shared" si="1"/>
        <v> </v>
      </c>
      <c r="G59" s="18" t="str">
        <f t="shared" si="2"/>
        <v> </v>
      </c>
      <c r="H59" s="18"/>
      <c r="I59" s="18">
        <v>22180.06</v>
      </c>
      <c r="J59" s="18"/>
      <c r="K59" s="18">
        <v>24795.93</v>
      </c>
      <c r="L59" s="18"/>
      <c r="M59" s="18">
        <v>28358.83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5" customFormat="1" ht="11.25" hidden="1">
      <c r="A60" s="76" t="s">
        <v>48</v>
      </c>
      <c r="B60" s="76"/>
      <c r="C60" s="76"/>
      <c r="D60" s="30" t="str">
        <f t="shared" si="3"/>
        <v> </v>
      </c>
      <c r="E60" s="17" t="str">
        <f t="shared" si="0"/>
        <v> </v>
      </c>
      <c r="F60" s="31" t="str">
        <f t="shared" si="1"/>
        <v> </v>
      </c>
      <c r="G60" s="18" t="str">
        <f t="shared" si="2"/>
        <v> </v>
      </c>
      <c r="H60" s="18"/>
      <c r="I60" s="18">
        <v>22180.06</v>
      </c>
      <c r="J60" s="18"/>
      <c r="K60" s="18">
        <v>24795.93</v>
      </c>
      <c r="L60" s="18"/>
      <c r="M60" s="18">
        <v>28358.83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5" customFormat="1" ht="11.25" hidden="1">
      <c r="A61" s="76" t="s">
        <v>49</v>
      </c>
      <c r="B61" s="76"/>
      <c r="C61" s="76"/>
      <c r="D61" s="30" t="str">
        <f t="shared" si="3"/>
        <v> </v>
      </c>
      <c r="E61" s="17" t="str">
        <f t="shared" si="0"/>
        <v> </v>
      </c>
      <c r="F61" s="31" t="str">
        <f t="shared" si="1"/>
        <v> </v>
      </c>
      <c r="G61" s="18" t="str">
        <f t="shared" si="2"/>
        <v> </v>
      </c>
      <c r="H61" s="18"/>
      <c r="I61" s="18">
        <v>22180.06</v>
      </c>
      <c r="J61" s="18"/>
      <c r="K61" s="18">
        <v>24795.93</v>
      </c>
      <c r="L61" s="18"/>
      <c r="M61" s="18">
        <v>28358.83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5" customFormat="1" ht="11.25" hidden="1">
      <c r="A62" s="76" t="s">
        <v>50</v>
      </c>
      <c r="B62" s="76"/>
      <c r="C62" s="76"/>
      <c r="D62" s="30" t="str">
        <f>IF($A$52&lt;VALUE(LEFT(A62,2))," ",DATE(YEAR(D61+30),MONTH(D61+30),DAY(D61)))</f>
        <v> </v>
      </c>
      <c r="E62" s="17" t="str">
        <f aca="true" t="shared" si="4" ref="E62:E88">IF($A$52&lt;VALUE(LEFT(A62,2))," ",IF($A$52=VALUE(LEFT(A62,2)),$G$48-($E$53*($A$52-1)),E61))</f>
        <v> </v>
      </c>
      <c r="F62" s="31" t="str">
        <f aca="true" t="shared" si="5" ref="F62:F88">IF($A$52&lt;VALUE(LEFT(A62,2))," ",IF($A$52=VALUE(LEFT(A62,2)),$G$49-($F$53*($A$52-1)),F61))</f>
        <v> </v>
      </c>
      <c r="G62" s="18" t="str">
        <f>IF($A$52&lt;VALUE(LEFT(A62,2))," ",SUM(E62:F62))</f>
        <v> </v>
      </c>
      <c r="H62" s="18"/>
      <c r="I62" s="18">
        <v>22180.06</v>
      </c>
      <c r="J62" s="18"/>
      <c r="K62" s="18">
        <v>24795.93</v>
      </c>
      <c r="L62" s="18"/>
      <c r="M62" s="18">
        <v>28358.83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5" customFormat="1" ht="11.25" hidden="1">
      <c r="A63" s="76" t="s">
        <v>51</v>
      </c>
      <c r="B63" s="76"/>
      <c r="C63" s="76"/>
      <c r="D63" s="30" t="str">
        <f aca="true" t="shared" si="6" ref="D63:D88">IF($A$52&lt;VALUE(LEFT(A63,2))," ",DATE(YEAR(D62+30),MONTH(D62+30),DAY(D62)))</f>
        <v> </v>
      </c>
      <c r="E63" s="17" t="str">
        <f t="shared" si="4"/>
        <v> </v>
      </c>
      <c r="F63" s="31" t="str">
        <f t="shared" si="5"/>
        <v> </v>
      </c>
      <c r="G63" s="18" t="str">
        <f aca="true" t="shared" si="7" ref="G63:G88">IF($A$52&lt;VALUE(LEFT(A63,2))," ",SUM(E63:F63))</f>
        <v> </v>
      </c>
      <c r="H63" s="18"/>
      <c r="I63" s="18">
        <v>22180.06</v>
      </c>
      <c r="J63" s="18"/>
      <c r="K63" s="18">
        <v>24795.93</v>
      </c>
      <c r="L63" s="18"/>
      <c r="M63" s="18">
        <v>28358.83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5" customFormat="1" ht="11.25" hidden="1">
      <c r="A64" s="76" t="s">
        <v>52</v>
      </c>
      <c r="B64" s="76"/>
      <c r="C64" s="76"/>
      <c r="D64" s="30" t="str">
        <f t="shared" si="6"/>
        <v> </v>
      </c>
      <c r="E64" s="17" t="str">
        <f t="shared" si="4"/>
        <v> </v>
      </c>
      <c r="F64" s="31" t="str">
        <f t="shared" si="5"/>
        <v> </v>
      </c>
      <c r="G64" s="18" t="str">
        <f t="shared" si="7"/>
        <v> </v>
      </c>
      <c r="H64" s="18"/>
      <c r="I64" s="18">
        <v>22180.06</v>
      </c>
      <c r="J64" s="18"/>
      <c r="K64" s="18">
        <v>24795.93</v>
      </c>
      <c r="L64" s="18"/>
      <c r="M64" s="18">
        <v>28358.83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5" customFormat="1" ht="11.25" hidden="1">
      <c r="A65" s="76" t="s">
        <v>53</v>
      </c>
      <c r="B65" s="76"/>
      <c r="C65" s="76"/>
      <c r="D65" s="30" t="str">
        <f t="shared" si="6"/>
        <v> </v>
      </c>
      <c r="E65" s="17" t="str">
        <f t="shared" si="4"/>
        <v> </v>
      </c>
      <c r="F65" s="31" t="str">
        <f t="shared" si="5"/>
        <v> </v>
      </c>
      <c r="G65" s="18" t="str">
        <f t="shared" si="7"/>
        <v> </v>
      </c>
      <c r="H65" s="18"/>
      <c r="I65" s="18">
        <v>22180.06</v>
      </c>
      <c r="J65" s="18"/>
      <c r="K65" s="18">
        <v>24795.93</v>
      </c>
      <c r="L65" s="18"/>
      <c r="M65" s="18">
        <v>28358.83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5" customFormat="1" ht="11.25" hidden="1">
      <c r="A66" s="76" t="s">
        <v>54</v>
      </c>
      <c r="B66" s="76"/>
      <c r="C66" s="76"/>
      <c r="D66" s="30" t="str">
        <f t="shared" si="6"/>
        <v> </v>
      </c>
      <c r="E66" s="17" t="str">
        <f t="shared" si="4"/>
        <v> </v>
      </c>
      <c r="F66" s="31" t="str">
        <f t="shared" si="5"/>
        <v> </v>
      </c>
      <c r="G66" s="18" t="str">
        <f t="shared" si="7"/>
        <v> </v>
      </c>
      <c r="H66" s="18"/>
      <c r="I66" s="18">
        <v>22180.06</v>
      </c>
      <c r="J66" s="18"/>
      <c r="K66" s="18">
        <v>24795.93</v>
      </c>
      <c r="L66" s="18"/>
      <c r="M66" s="18">
        <v>28358.83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5" customFormat="1" ht="11.25" hidden="1">
      <c r="A67" s="76" t="s">
        <v>55</v>
      </c>
      <c r="B67" s="76"/>
      <c r="C67" s="76"/>
      <c r="D67" s="30" t="str">
        <f t="shared" si="6"/>
        <v> </v>
      </c>
      <c r="E67" s="17" t="str">
        <f t="shared" si="4"/>
        <v> </v>
      </c>
      <c r="F67" s="31" t="str">
        <f t="shared" si="5"/>
        <v> </v>
      </c>
      <c r="G67" s="18" t="str">
        <f t="shared" si="7"/>
        <v> </v>
      </c>
      <c r="H67" s="18"/>
      <c r="I67" s="18">
        <v>22180.06</v>
      </c>
      <c r="J67" s="18"/>
      <c r="K67" s="18">
        <v>24795.93</v>
      </c>
      <c r="L67" s="18"/>
      <c r="M67" s="18">
        <v>28358.83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5" customFormat="1" ht="11.25" hidden="1">
      <c r="A68" s="76" t="s">
        <v>56</v>
      </c>
      <c r="B68" s="76"/>
      <c r="C68" s="76"/>
      <c r="D68" s="30" t="str">
        <f t="shared" si="6"/>
        <v> </v>
      </c>
      <c r="E68" s="17" t="str">
        <f t="shared" si="4"/>
        <v> </v>
      </c>
      <c r="F68" s="31" t="str">
        <f t="shared" si="5"/>
        <v> </v>
      </c>
      <c r="G68" s="18" t="str">
        <f t="shared" si="7"/>
        <v> </v>
      </c>
      <c r="H68" s="18"/>
      <c r="I68" s="18">
        <v>22180.06</v>
      </c>
      <c r="J68" s="18"/>
      <c r="K68" s="18">
        <v>24795.93</v>
      </c>
      <c r="L68" s="18"/>
      <c r="M68" s="18">
        <v>28358.83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5" customFormat="1" ht="11.25" hidden="1">
      <c r="A69" s="76" t="s">
        <v>57</v>
      </c>
      <c r="B69" s="76"/>
      <c r="C69" s="76"/>
      <c r="D69" s="30" t="str">
        <f t="shared" si="6"/>
        <v> </v>
      </c>
      <c r="E69" s="17" t="str">
        <f t="shared" si="4"/>
        <v> </v>
      </c>
      <c r="F69" s="31" t="str">
        <f t="shared" si="5"/>
        <v> </v>
      </c>
      <c r="G69" s="18" t="str">
        <f t="shared" si="7"/>
        <v> </v>
      </c>
      <c r="H69" s="18"/>
      <c r="I69" s="18">
        <v>22180.06</v>
      </c>
      <c r="J69" s="18"/>
      <c r="K69" s="18">
        <v>24795.93</v>
      </c>
      <c r="L69" s="18"/>
      <c r="M69" s="18">
        <v>28358.83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5" customFormat="1" ht="11.25" hidden="1">
      <c r="A70" s="76" t="s">
        <v>58</v>
      </c>
      <c r="B70" s="76"/>
      <c r="C70" s="76"/>
      <c r="D70" s="30" t="str">
        <f t="shared" si="6"/>
        <v> </v>
      </c>
      <c r="E70" s="17" t="str">
        <f t="shared" si="4"/>
        <v> </v>
      </c>
      <c r="F70" s="31" t="str">
        <f t="shared" si="5"/>
        <v> </v>
      </c>
      <c r="G70" s="18" t="str">
        <f t="shared" si="7"/>
        <v> </v>
      </c>
      <c r="H70" s="18"/>
      <c r="I70" s="18">
        <v>22180.07</v>
      </c>
      <c r="J70" s="18"/>
      <c r="K70" s="18">
        <v>24795.99</v>
      </c>
      <c r="L70" s="18"/>
      <c r="M70" s="18">
        <v>28358.87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5" customFormat="1" ht="11.25" hidden="1">
      <c r="A71" s="76" t="s">
        <v>59</v>
      </c>
      <c r="B71" s="76"/>
      <c r="C71" s="76"/>
      <c r="D71" s="30" t="str">
        <f t="shared" si="6"/>
        <v> </v>
      </c>
      <c r="E71" s="17" t="str">
        <f t="shared" si="4"/>
        <v> </v>
      </c>
      <c r="F71" s="31" t="str">
        <f t="shared" si="5"/>
        <v> </v>
      </c>
      <c r="G71" s="18" t="str">
        <f t="shared" si="7"/>
        <v> </v>
      </c>
      <c r="H71" s="18"/>
      <c r="I71" s="18"/>
      <c r="J71" s="18"/>
      <c r="K71" s="18"/>
      <c r="L71" s="18"/>
      <c r="M71" s="18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5" customFormat="1" ht="11.25" hidden="1">
      <c r="A72" s="76" t="s">
        <v>60</v>
      </c>
      <c r="B72" s="76"/>
      <c r="C72" s="76"/>
      <c r="D72" s="30" t="str">
        <f t="shared" si="6"/>
        <v> </v>
      </c>
      <c r="E72" s="17" t="str">
        <f t="shared" si="4"/>
        <v> </v>
      </c>
      <c r="F72" s="31" t="str">
        <f t="shared" si="5"/>
        <v> </v>
      </c>
      <c r="G72" s="18" t="str">
        <f t="shared" si="7"/>
        <v> </v>
      </c>
      <c r="H72" s="18"/>
      <c r="I72" s="18"/>
      <c r="J72" s="18"/>
      <c r="K72" s="18"/>
      <c r="L72" s="18"/>
      <c r="M72" s="18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5" customFormat="1" ht="11.25" hidden="1">
      <c r="A73" s="76" t="s">
        <v>61</v>
      </c>
      <c r="B73" s="76"/>
      <c r="C73" s="76"/>
      <c r="D73" s="30" t="str">
        <f t="shared" si="6"/>
        <v> </v>
      </c>
      <c r="E73" s="17" t="str">
        <f t="shared" si="4"/>
        <v> </v>
      </c>
      <c r="F73" s="31" t="str">
        <f t="shared" si="5"/>
        <v> </v>
      </c>
      <c r="G73" s="18" t="str">
        <f t="shared" si="7"/>
        <v> </v>
      </c>
      <c r="H73" s="18"/>
      <c r="I73" s="18"/>
      <c r="J73" s="18"/>
      <c r="K73" s="18"/>
      <c r="L73" s="18"/>
      <c r="M73" s="18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5" customFormat="1" ht="11.25" hidden="1">
      <c r="A74" s="76" t="s">
        <v>62</v>
      </c>
      <c r="B74" s="76"/>
      <c r="C74" s="76"/>
      <c r="D74" s="30" t="str">
        <f t="shared" si="6"/>
        <v> </v>
      </c>
      <c r="E74" s="17" t="str">
        <f t="shared" si="4"/>
        <v> </v>
      </c>
      <c r="F74" s="31" t="str">
        <f t="shared" si="5"/>
        <v> </v>
      </c>
      <c r="G74" s="18" t="str">
        <f t="shared" si="7"/>
        <v> </v>
      </c>
      <c r="H74" s="18"/>
      <c r="I74" s="18"/>
      <c r="J74" s="18"/>
      <c r="K74" s="18"/>
      <c r="L74" s="18"/>
      <c r="M74" s="18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5" customFormat="1" ht="11.25" hidden="1">
      <c r="A75" s="76" t="s">
        <v>63</v>
      </c>
      <c r="B75" s="76"/>
      <c r="C75" s="76"/>
      <c r="D75" s="30" t="str">
        <f t="shared" si="6"/>
        <v> </v>
      </c>
      <c r="E75" s="17" t="str">
        <f t="shared" si="4"/>
        <v> </v>
      </c>
      <c r="F75" s="31" t="str">
        <f t="shared" si="5"/>
        <v> </v>
      </c>
      <c r="G75" s="18" t="str">
        <f t="shared" si="7"/>
        <v> </v>
      </c>
      <c r="H75" s="18"/>
      <c r="I75" s="18"/>
      <c r="J75" s="18"/>
      <c r="K75" s="18"/>
      <c r="L75" s="18"/>
      <c r="M75" s="18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5" customFormat="1" ht="11.25" hidden="1">
      <c r="A76" s="76" t="s">
        <v>64</v>
      </c>
      <c r="B76" s="76"/>
      <c r="C76" s="76"/>
      <c r="D76" s="30" t="str">
        <f t="shared" si="6"/>
        <v> </v>
      </c>
      <c r="E76" s="17" t="str">
        <f t="shared" si="4"/>
        <v> </v>
      </c>
      <c r="F76" s="31" t="str">
        <f t="shared" si="5"/>
        <v> </v>
      </c>
      <c r="G76" s="18" t="str">
        <f t="shared" si="7"/>
        <v> </v>
      </c>
      <c r="H76" s="18"/>
      <c r="I76" s="18"/>
      <c r="J76" s="18"/>
      <c r="K76" s="18"/>
      <c r="L76" s="18"/>
      <c r="M76" s="18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5" customFormat="1" ht="11.25" hidden="1">
      <c r="A77" s="76" t="s">
        <v>65</v>
      </c>
      <c r="B77" s="76"/>
      <c r="C77" s="76"/>
      <c r="D77" s="30" t="str">
        <f t="shared" si="6"/>
        <v> </v>
      </c>
      <c r="E77" s="17" t="str">
        <f t="shared" si="4"/>
        <v> </v>
      </c>
      <c r="F77" s="31" t="str">
        <f t="shared" si="5"/>
        <v> </v>
      </c>
      <c r="G77" s="18" t="str">
        <f t="shared" si="7"/>
        <v> </v>
      </c>
      <c r="H77" s="18"/>
      <c r="I77" s="18" t="e">
        <f aca="true" t="shared" si="8" ref="I77:I88">IF($A$52&lt;VALUE(LEFT(B77,2))," ",SUM(F77:G77))</f>
        <v>#VALUE!</v>
      </c>
      <c r="J77" s="18"/>
      <c r="K77" s="18" t="e">
        <f aca="true" t="shared" si="9" ref="K77:K88">IF($A$52&lt;VALUE(LEFT(C77,2))," ",SUM(G77:I77))</f>
        <v>#VALUE!</v>
      </c>
      <c r="L77" s="18"/>
      <c r="M77" s="18" t="e">
        <f aca="true" t="shared" si="10" ref="M77:M88">IF($A$52&lt;VALUE(LEFT(D77,2))," ",SUM(I77:K77))</f>
        <v>#VALUE!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5" customFormat="1" ht="11.25" hidden="1">
      <c r="A78" s="76" t="s">
        <v>66</v>
      </c>
      <c r="B78" s="76"/>
      <c r="C78" s="76"/>
      <c r="D78" s="30" t="str">
        <f t="shared" si="6"/>
        <v> </v>
      </c>
      <c r="E78" s="17" t="str">
        <f t="shared" si="4"/>
        <v> </v>
      </c>
      <c r="F78" s="31" t="str">
        <f t="shared" si="5"/>
        <v> </v>
      </c>
      <c r="G78" s="18" t="str">
        <f t="shared" si="7"/>
        <v> </v>
      </c>
      <c r="H78" s="18"/>
      <c r="I78" s="18" t="e">
        <f t="shared" si="8"/>
        <v>#VALUE!</v>
      </c>
      <c r="J78" s="18"/>
      <c r="K78" s="18" t="e">
        <f t="shared" si="9"/>
        <v>#VALUE!</v>
      </c>
      <c r="L78" s="18"/>
      <c r="M78" s="18" t="e">
        <f t="shared" si="10"/>
        <v>#VALUE!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5" customFormat="1" ht="11.25" hidden="1">
      <c r="A79" s="76" t="s">
        <v>67</v>
      </c>
      <c r="B79" s="76"/>
      <c r="C79" s="76"/>
      <c r="D79" s="30" t="str">
        <f t="shared" si="6"/>
        <v> </v>
      </c>
      <c r="E79" s="17" t="str">
        <f t="shared" si="4"/>
        <v> </v>
      </c>
      <c r="F79" s="31" t="str">
        <f t="shared" si="5"/>
        <v> </v>
      </c>
      <c r="G79" s="18" t="str">
        <f t="shared" si="7"/>
        <v> </v>
      </c>
      <c r="H79" s="18"/>
      <c r="I79" s="18" t="e">
        <f t="shared" si="8"/>
        <v>#VALUE!</v>
      </c>
      <c r="J79" s="18"/>
      <c r="K79" s="18" t="e">
        <f t="shared" si="9"/>
        <v>#VALUE!</v>
      </c>
      <c r="L79" s="18"/>
      <c r="M79" s="18" t="e">
        <f t="shared" si="10"/>
        <v>#VALUE!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5" customFormat="1" ht="11.25" hidden="1">
      <c r="A80" s="76" t="s">
        <v>68</v>
      </c>
      <c r="B80" s="76"/>
      <c r="C80" s="76"/>
      <c r="D80" s="30" t="str">
        <f t="shared" si="6"/>
        <v> </v>
      </c>
      <c r="E80" s="17" t="str">
        <f t="shared" si="4"/>
        <v> </v>
      </c>
      <c r="F80" s="31" t="str">
        <f t="shared" si="5"/>
        <v> </v>
      </c>
      <c r="G80" s="18" t="str">
        <f t="shared" si="7"/>
        <v> </v>
      </c>
      <c r="H80" s="18"/>
      <c r="I80" s="18" t="e">
        <f t="shared" si="8"/>
        <v>#VALUE!</v>
      </c>
      <c r="J80" s="18"/>
      <c r="K80" s="18" t="e">
        <f t="shared" si="9"/>
        <v>#VALUE!</v>
      </c>
      <c r="L80" s="18"/>
      <c r="M80" s="18" t="e">
        <f t="shared" si="10"/>
        <v>#VALUE!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5" customFormat="1" ht="11.25" hidden="1">
      <c r="A81" s="76" t="s">
        <v>69</v>
      </c>
      <c r="B81" s="76"/>
      <c r="C81" s="76"/>
      <c r="D81" s="30" t="str">
        <f t="shared" si="6"/>
        <v> </v>
      </c>
      <c r="E81" s="17" t="str">
        <f t="shared" si="4"/>
        <v> </v>
      </c>
      <c r="F81" s="31" t="str">
        <f t="shared" si="5"/>
        <v> </v>
      </c>
      <c r="G81" s="18" t="str">
        <f t="shared" si="7"/>
        <v> </v>
      </c>
      <c r="H81" s="18"/>
      <c r="I81" s="18" t="e">
        <f t="shared" si="8"/>
        <v>#VALUE!</v>
      </c>
      <c r="J81" s="18"/>
      <c r="K81" s="18" t="e">
        <f t="shared" si="9"/>
        <v>#VALUE!</v>
      </c>
      <c r="L81" s="18"/>
      <c r="M81" s="18" t="e">
        <f t="shared" si="10"/>
        <v>#VALUE!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5" customFormat="1" ht="11.25" hidden="1">
      <c r="A82" s="76" t="s">
        <v>70</v>
      </c>
      <c r="B82" s="76"/>
      <c r="C82" s="76"/>
      <c r="D82" s="30" t="str">
        <f t="shared" si="6"/>
        <v> </v>
      </c>
      <c r="E82" s="17" t="str">
        <f t="shared" si="4"/>
        <v> </v>
      </c>
      <c r="F82" s="31" t="str">
        <f t="shared" si="5"/>
        <v> </v>
      </c>
      <c r="G82" s="18" t="str">
        <f t="shared" si="7"/>
        <v> </v>
      </c>
      <c r="H82" s="18"/>
      <c r="I82" s="18" t="e">
        <f t="shared" si="8"/>
        <v>#VALUE!</v>
      </c>
      <c r="J82" s="18"/>
      <c r="K82" s="18" t="e">
        <f t="shared" si="9"/>
        <v>#VALUE!</v>
      </c>
      <c r="L82" s="18"/>
      <c r="M82" s="18" t="e">
        <f t="shared" si="10"/>
        <v>#VALUE!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5" customFormat="1" ht="11.25" hidden="1">
      <c r="A83" s="76" t="s">
        <v>71</v>
      </c>
      <c r="B83" s="76"/>
      <c r="C83" s="76"/>
      <c r="D83" s="30" t="str">
        <f t="shared" si="6"/>
        <v> </v>
      </c>
      <c r="E83" s="17" t="str">
        <f t="shared" si="4"/>
        <v> </v>
      </c>
      <c r="F83" s="31" t="str">
        <f t="shared" si="5"/>
        <v> </v>
      </c>
      <c r="G83" s="18" t="str">
        <f t="shared" si="7"/>
        <v> </v>
      </c>
      <c r="H83" s="18"/>
      <c r="I83" s="18" t="e">
        <f t="shared" si="8"/>
        <v>#VALUE!</v>
      </c>
      <c r="J83" s="18"/>
      <c r="K83" s="18" t="e">
        <f t="shared" si="9"/>
        <v>#VALUE!</v>
      </c>
      <c r="L83" s="18"/>
      <c r="M83" s="18" t="e">
        <f t="shared" si="10"/>
        <v>#VALUE!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5" customFormat="1" ht="11.25" hidden="1">
      <c r="A84" s="76" t="s">
        <v>72</v>
      </c>
      <c r="B84" s="76"/>
      <c r="C84" s="76"/>
      <c r="D84" s="30" t="str">
        <f t="shared" si="6"/>
        <v> </v>
      </c>
      <c r="E84" s="17" t="str">
        <f t="shared" si="4"/>
        <v> </v>
      </c>
      <c r="F84" s="31" t="str">
        <f t="shared" si="5"/>
        <v> </v>
      </c>
      <c r="G84" s="18" t="str">
        <f t="shared" si="7"/>
        <v> </v>
      </c>
      <c r="H84" s="18"/>
      <c r="I84" s="18" t="e">
        <f t="shared" si="8"/>
        <v>#VALUE!</v>
      </c>
      <c r="J84" s="18"/>
      <c r="K84" s="18" t="e">
        <f t="shared" si="9"/>
        <v>#VALUE!</v>
      </c>
      <c r="L84" s="18"/>
      <c r="M84" s="18" t="e">
        <f t="shared" si="10"/>
        <v>#VALUE!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5" customFormat="1" ht="11.25" hidden="1">
      <c r="A85" s="76" t="s">
        <v>73</v>
      </c>
      <c r="B85" s="76"/>
      <c r="C85" s="76"/>
      <c r="D85" s="30" t="str">
        <f t="shared" si="6"/>
        <v> </v>
      </c>
      <c r="E85" s="17" t="str">
        <f t="shared" si="4"/>
        <v> </v>
      </c>
      <c r="F85" s="31" t="str">
        <f t="shared" si="5"/>
        <v> </v>
      </c>
      <c r="G85" s="18" t="str">
        <f t="shared" si="7"/>
        <v> </v>
      </c>
      <c r="H85" s="18"/>
      <c r="I85" s="18" t="e">
        <f t="shared" si="8"/>
        <v>#VALUE!</v>
      </c>
      <c r="J85" s="18"/>
      <c r="K85" s="18" t="e">
        <f t="shared" si="9"/>
        <v>#VALUE!</v>
      </c>
      <c r="L85" s="18"/>
      <c r="M85" s="18" t="e">
        <f t="shared" si="10"/>
        <v>#VALUE!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5" customFormat="1" ht="11.25" hidden="1">
      <c r="A86" s="76" t="s">
        <v>74</v>
      </c>
      <c r="B86" s="76"/>
      <c r="C86" s="76"/>
      <c r="D86" s="30" t="str">
        <f t="shared" si="6"/>
        <v> </v>
      </c>
      <c r="E86" s="17" t="str">
        <f t="shared" si="4"/>
        <v> </v>
      </c>
      <c r="F86" s="31" t="str">
        <f t="shared" si="5"/>
        <v> </v>
      </c>
      <c r="G86" s="18" t="str">
        <f t="shared" si="7"/>
        <v> </v>
      </c>
      <c r="H86" s="18"/>
      <c r="I86" s="18" t="e">
        <f t="shared" si="8"/>
        <v>#VALUE!</v>
      </c>
      <c r="J86" s="18"/>
      <c r="K86" s="18" t="e">
        <f t="shared" si="9"/>
        <v>#VALUE!</v>
      </c>
      <c r="L86" s="18"/>
      <c r="M86" s="18" t="e">
        <f t="shared" si="10"/>
        <v>#VALUE!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s="5" customFormat="1" ht="11.25" hidden="1">
      <c r="A87" s="76" t="s">
        <v>75</v>
      </c>
      <c r="B87" s="76"/>
      <c r="C87" s="76"/>
      <c r="D87" s="30" t="str">
        <f t="shared" si="6"/>
        <v> </v>
      </c>
      <c r="E87" s="17" t="str">
        <f t="shared" si="4"/>
        <v> </v>
      </c>
      <c r="F87" s="31" t="str">
        <f t="shared" si="5"/>
        <v> </v>
      </c>
      <c r="G87" s="18" t="str">
        <f t="shared" si="7"/>
        <v> </v>
      </c>
      <c r="H87" s="18"/>
      <c r="I87" s="18" t="e">
        <f t="shared" si="8"/>
        <v>#VALUE!</v>
      </c>
      <c r="J87" s="18"/>
      <c r="K87" s="18" t="e">
        <f t="shared" si="9"/>
        <v>#VALUE!</v>
      </c>
      <c r="L87" s="18"/>
      <c r="M87" s="18" t="e">
        <f t="shared" si="10"/>
        <v>#VALUE!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s="5" customFormat="1" ht="11.25" hidden="1">
      <c r="A88" s="76" t="s">
        <v>76</v>
      </c>
      <c r="B88" s="76"/>
      <c r="C88" s="76"/>
      <c r="D88" s="30" t="str">
        <f t="shared" si="6"/>
        <v> </v>
      </c>
      <c r="E88" s="17" t="str">
        <f t="shared" si="4"/>
        <v> </v>
      </c>
      <c r="F88" s="31" t="str">
        <f t="shared" si="5"/>
        <v> </v>
      </c>
      <c r="G88" s="18" t="str">
        <f t="shared" si="7"/>
        <v> </v>
      </c>
      <c r="H88" s="18"/>
      <c r="I88" s="18" t="e">
        <f t="shared" si="8"/>
        <v>#VALUE!</v>
      </c>
      <c r="J88" s="18"/>
      <c r="K88" s="18" t="e">
        <f t="shared" si="9"/>
        <v>#VALUE!</v>
      </c>
      <c r="L88" s="18"/>
      <c r="M88" s="18" t="e">
        <f t="shared" si="10"/>
        <v>#VALUE!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s="5" customFormat="1" ht="11.25" hidden="1">
      <c r="A89" s="29"/>
      <c r="B89" s="29"/>
      <c r="C89" s="29"/>
      <c r="D89" s="30"/>
      <c r="E89" s="17"/>
      <c r="F89" s="31"/>
      <c r="G89" s="18"/>
      <c r="H89" s="18"/>
      <c r="I89" s="18"/>
      <c r="J89" s="18"/>
      <c r="K89" s="18"/>
      <c r="L89" s="18"/>
      <c r="M89" s="18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s="5" customFormat="1" ht="11.25" hidden="1">
      <c r="A90" s="29"/>
      <c r="B90" s="29"/>
      <c r="C90" s="29"/>
      <c r="D90" s="30"/>
      <c r="E90" s="17"/>
      <c r="F90" s="31"/>
      <c r="G90" s="18"/>
      <c r="H90" s="18"/>
      <c r="I90" s="18"/>
      <c r="J90" s="18"/>
      <c r="K90" s="18"/>
      <c r="L90" s="18"/>
      <c r="M90" s="18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5" customFormat="1" ht="11.25" hidden="1">
      <c r="A91" s="29"/>
      <c r="B91" s="29"/>
      <c r="C91" s="29"/>
      <c r="D91" s="30"/>
      <c r="E91" s="17"/>
      <c r="F91" s="31"/>
      <c r="G91" s="18"/>
      <c r="H91" s="18"/>
      <c r="I91" s="18"/>
      <c r="J91" s="18"/>
      <c r="K91" s="18"/>
      <c r="L91" s="18"/>
      <c r="M91" s="18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5" customFormat="1" ht="11.25">
      <c r="A92" s="29"/>
      <c r="B92" s="29"/>
      <c r="C92" s="29"/>
      <c r="D92" s="30"/>
      <c r="E92" s="17"/>
      <c r="F92" s="31"/>
      <c r="G92" s="18"/>
      <c r="H92" s="18"/>
      <c r="I92" s="18"/>
      <c r="J92" s="18"/>
      <c r="K92" s="18"/>
      <c r="L92" s="18"/>
      <c r="M92" s="18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s="5" customFormat="1" ht="11.25">
      <c r="A93" s="3" t="s">
        <v>77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7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5" customFormat="1" ht="11.25">
      <c r="A94" s="61"/>
      <c r="B94" s="61" t="s">
        <v>88</v>
      </c>
      <c r="C94" s="61"/>
      <c r="D94" s="61"/>
      <c r="E94" s="61"/>
      <c r="F94" s="69" t="e">
        <f>DATE(YEAR(MAX(D53:D87)+30),MONTH(MAX(D53:D87)+30),DAY(#REF!))</f>
        <v>#REF!</v>
      </c>
      <c r="G94" s="70">
        <f>G35*80%</f>
        <v>2871198</v>
      </c>
      <c r="H94" s="70"/>
      <c r="I94" s="70">
        <f>I35*80%</f>
        <v>4903420.5</v>
      </c>
      <c r="J94" s="70"/>
      <c r="K94" s="70">
        <f>K35*80%</f>
        <v>5202994.5</v>
      </c>
      <c r="L94" s="70"/>
      <c r="M94" s="70">
        <f>M35*80%</f>
        <v>6235515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s="5" customFormat="1" ht="11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s="5" customFormat="1" ht="11.25">
      <c r="A96" s="4"/>
      <c r="B96" s="3" t="s">
        <v>92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s="5" customFormat="1" ht="11.25">
      <c r="A97" s="4"/>
      <c r="B97" s="4" t="s">
        <v>89</v>
      </c>
      <c r="C97" s="4"/>
      <c r="D97" s="4"/>
      <c r="E97" s="4"/>
      <c r="F97" s="4"/>
      <c r="G97" s="40">
        <f>G94*0.0198012</f>
        <v>56853.165837600005</v>
      </c>
      <c r="H97" s="40"/>
      <c r="I97" s="40">
        <f>I94*0.0198012</f>
        <v>97093.6100046</v>
      </c>
      <c r="J97" s="40"/>
      <c r="K97" s="40">
        <f>K94*0.0198012</f>
        <v>103025.53469340001</v>
      </c>
      <c r="L97" s="40"/>
      <c r="M97" s="40">
        <f>M94*0.0198012</f>
        <v>123470.67961800001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s="5" customFormat="1" ht="11.25">
      <c r="A98" s="4"/>
      <c r="B98" s="4" t="s">
        <v>90</v>
      </c>
      <c r="C98" s="4"/>
      <c r="D98" s="4"/>
      <c r="E98" s="4"/>
      <c r="F98" s="4"/>
      <c r="G98" s="40">
        <f>G94*0.01266758</f>
        <v>36371.13036084</v>
      </c>
      <c r="H98" s="40"/>
      <c r="I98" s="40">
        <f>I94*0.01266758</f>
        <v>62114.47145739</v>
      </c>
      <c r="J98" s="40"/>
      <c r="K98" s="40">
        <f>K94*0.01266758</f>
        <v>65909.34906831</v>
      </c>
      <c r="L98" s="40"/>
      <c r="M98" s="40">
        <f>M94*0.01266758</f>
        <v>78988.8851037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s="5" customFormat="1" ht="11.25">
      <c r="A99" s="4"/>
      <c r="B99" s="4" t="s">
        <v>91</v>
      </c>
      <c r="C99" s="4"/>
      <c r="D99" s="4"/>
      <c r="E99" s="4"/>
      <c r="F99" s="4"/>
      <c r="G99" s="40">
        <f>G94*0.01074605</f>
        <v>30854.0372679</v>
      </c>
      <c r="H99" s="40"/>
      <c r="I99" s="40">
        <f>I94*0.0107460512</f>
        <v>52692.407748129604</v>
      </c>
      <c r="J99" s="40"/>
      <c r="K99" s="40">
        <f>K94*0.01074605</f>
        <v>55911.639046725</v>
      </c>
      <c r="L99" s="40"/>
      <c r="M99" s="40">
        <f>M94*0.01074605</f>
        <v>67007.15596575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s="5" customFormat="1" ht="11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5" customFormat="1" ht="11.25">
      <c r="A101" s="3" t="s">
        <v>78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5" customFormat="1" ht="12.75">
      <c r="A102" s="4" t="s">
        <v>79</v>
      </c>
      <c r="B102" s="4"/>
      <c r="C102" s="4"/>
      <c r="D102" s="4"/>
      <c r="E102" s="4"/>
      <c r="F102" s="4"/>
      <c r="G102" s="4"/>
      <c r="H102" s="4"/>
      <c r="I102" s="4"/>
      <c r="J102" s="4"/>
      <c r="K102" s="48"/>
      <c r="L102" s="49"/>
      <c r="M102" s="49"/>
      <c r="N102" s="50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s="5" customFormat="1" ht="12.75">
      <c r="A103" s="4" t="s">
        <v>80</v>
      </c>
      <c r="B103" s="4"/>
      <c r="C103" s="4"/>
      <c r="D103" s="4"/>
      <c r="E103" s="4"/>
      <c r="F103" s="4"/>
      <c r="G103" s="4"/>
      <c r="H103" s="4"/>
      <c r="I103" s="4"/>
      <c r="J103" s="4"/>
      <c r="K103" s="48"/>
      <c r="L103" s="49"/>
      <c r="M103" s="49"/>
      <c r="N103" s="51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5" customFormat="1" ht="12.75">
      <c r="A104" s="4" t="s">
        <v>81</v>
      </c>
      <c r="B104" s="4"/>
      <c r="C104" s="4"/>
      <c r="D104" s="4"/>
      <c r="E104" s="4"/>
      <c r="F104" s="4"/>
      <c r="G104" s="4"/>
      <c r="H104" s="4"/>
      <c r="I104" s="4"/>
      <c r="J104" s="4"/>
      <c r="K104" s="48"/>
      <c r="L104" s="49"/>
      <c r="M104" s="49"/>
      <c r="N104" s="51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s="5" customFormat="1" ht="11.25">
      <c r="A105" s="4" t="s">
        <v>82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s="5" customFormat="1" ht="11.25">
      <c r="A106" s="77" t="s">
        <v>83</v>
      </c>
      <c r="B106" s="77"/>
      <c r="C106" s="77"/>
      <c r="D106" s="77"/>
      <c r="E106" s="77"/>
      <c r="F106" s="77"/>
      <c r="G106" s="77"/>
      <c r="H106" s="15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s="5" customFormat="1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</sheetData>
  <sheetProtection/>
  <mergeCells count="46">
    <mergeCell ref="A2:M2"/>
    <mergeCell ref="A3:M3"/>
    <mergeCell ref="A4:M4"/>
    <mergeCell ref="A5:M5"/>
    <mergeCell ref="F7:G7"/>
    <mergeCell ref="G52:M52"/>
    <mergeCell ref="B46:D46"/>
    <mergeCell ref="A52:D52"/>
    <mergeCell ref="B28:D28"/>
    <mergeCell ref="A54:C54"/>
    <mergeCell ref="A55:C55"/>
    <mergeCell ref="A56:C56"/>
    <mergeCell ref="A57:C57"/>
    <mergeCell ref="A58:C58"/>
    <mergeCell ref="A53:D53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106:G106"/>
    <mergeCell ref="A83:C83"/>
    <mergeCell ref="A84:C84"/>
    <mergeCell ref="A85:C85"/>
    <mergeCell ref="A86:C86"/>
    <mergeCell ref="A87:C87"/>
    <mergeCell ref="A88:C88"/>
  </mergeCells>
  <conditionalFormatting sqref="B15 B30">
    <cfRule type="expression" priority="12" dxfId="71" stopIfTrue="1">
      <formula>G15=0</formula>
    </cfRule>
  </conditionalFormatting>
  <conditionalFormatting sqref="A54:C61">
    <cfRule type="expression" priority="13" dxfId="71" stopIfTrue="1">
      <formula>VALUE(NoDPSchedule)&lt;VALUE(LEFT(A54,1))</formula>
    </cfRule>
  </conditionalFormatting>
  <conditionalFormatting sqref="A62:C92">
    <cfRule type="expression" priority="14" dxfId="71" stopIfTrue="1">
      <formula>VALUE(NoDPSchedule)&lt;VALUE(LEFT(A62,2))</formula>
    </cfRule>
  </conditionalFormatting>
  <conditionalFormatting sqref="H15 H30">
    <cfRule type="expression" priority="15" dxfId="71" stopIfTrue="1">
      <formula>H15=0</formula>
    </cfRule>
  </conditionalFormatting>
  <conditionalFormatting sqref="I15:J15">
    <cfRule type="expression" priority="11" dxfId="71" stopIfTrue="1">
      <formula>I15=0</formula>
    </cfRule>
  </conditionalFormatting>
  <conditionalFormatting sqref="K15:L15">
    <cfRule type="expression" priority="10" dxfId="71" stopIfTrue="1">
      <formula>K15=0</formula>
    </cfRule>
  </conditionalFormatting>
  <conditionalFormatting sqref="M15">
    <cfRule type="expression" priority="9" dxfId="71" stopIfTrue="1">
      <formula>M15=0</formula>
    </cfRule>
  </conditionalFormatting>
  <conditionalFormatting sqref="K30:M30">
    <cfRule type="expression" priority="4" dxfId="71" stopIfTrue="1">
      <formula>K30=0</formula>
    </cfRule>
  </conditionalFormatting>
  <conditionalFormatting sqref="I30:J30">
    <cfRule type="expression" priority="5" dxfId="71" stopIfTrue="1">
      <formula>I30=0</formula>
    </cfRule>
  </conditionalFormatting>
  <conditionalFormatting sqref="G15">
    <cfRule type="expression" priority="2" dxfId="71" stopIfTrue="1">
      <formula>G15=0</formula>
    </cfRule>
  </conditionalFormatting>
  <conditionalFormatting sqref="G30">
    <cfRule type="expression" priority="1" dxfId="71" stopIfTrue="1">
      <formula>G30=0</formula>
    </cfRule>
  </conditionalFormatting>
  <printOptions horizontalCentered="1"/>
  <pageMargins left="0.25" right="0.25" top="0.75" bottom="0.75" header="0.3" footer="0.3"/>
  <pageSetup fitToHeight="1" fitToWidth="1" horizontalDpi="300" verticalDpi="3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66"/>
  <sheetViews>
    <sheetView zoomScalePageLayoutView="0" workbookViewId="0" topLeftCell="A1">
      <selection activeCell="A46" sqref="A46:D46"/>
    </sheetView>
  </sheetViews>
  <sheetFormatPr defaultColWidth="12.375" defaultRowHeight="12.75" customHeight="1"/>
  <cols>
    <col min="1" max="3" width="12.375" style="1" customWidth="1"/>
    <col min="4" max="4" width="12.625" style="1" bestFit="1" customWidth="1"/>
    <col min="5" max="5" width="38.125" style="1" hidden="1" customWidth="1"/>
    <col min="6" max="6" width="12.375" style="1" hidden="1" customWidth="1"/>
    <col min="7" max="7" width="18.625" style="1" customWidth="1"/>
    <col min="8" max="8" width="1.625" style="1" customWidth="1"/>
    <col min="9" max="9" width="18.625" style="1" customWidth="1"/>
    <col min="10" max="10" width="1.625" style="1" customWidth="1"/>
    <col min="11" max="11" width="18.625" style="1" customWidth="1"/>
    <col min="12" max="12" width="1.625" style="1" customWidth="1"/>
    <col min="13" max="13" width="18.625" style="1" customWidth="1"/>
    <col min="14" max="14" width="12.625" style="1" bestFit="1" customWidth="1"/>
    <col min="15" max="16384" width="12.375" style="1" customWidth="1"/>
  </cols>
  <sheetData>
    <row r="1" ht="15" customHeight="1" thickBot="1">
      <c r="A1" s="46"/>
    </row>
    <row r="2" spans="1:13" ht="15.75" customHeight="1" thickTop="1">
      <c r="A2" s="78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ht="14.25" customHeight="1">
      <c r="A3" s="81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3" ht="30" customHeight="1">
      <c r="A4" s="87" t="s">
        <v>102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</row>
    <row r="5" spans="1:13" ht="13.5" customHeight="1" thickBot="1">
      <c r="A5" s="84" t="s">
        <v>108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7:13" ht="13.5" customHeight="1" thickTop="1">
      <c r="G6" s="2"/>
      <c r="H6" s="2"/>
      <c r="I6" s="2"/>
      <c r="J6" s="2"/>
      <c r="K6" s="2"/>
      <c r="L6" s="2"/>
      <c r="M6" s="2"/>
    </row>
    <row r="7" spans="1:256" s="5" customFormat="1" ht="13.5" customHeight="1">
      <c r="A7" s="7"/>
      <c r="B7" s="7"/>
      <c r="C7" s="8" t="s">
        <v>9</v>
      </c>
      <c r="D7" s="8"/>
      <c r="E7" s="4"/>
      <c r="F7" s="91" t="s">
        <v>10</v>
      </c>
      <c r="G7" s="91"/>
      <c r="H7" s="8"/>
      <c r="I7" s="34" t="s">
        <v>122</v>
      </c>
      <c r="J7" s="8"/>
      <c r="K7" s="35" t="s">
        <v>123</v>
      </c>
      <c r="L7" s="8"/>
      <c r="M7" s="36" t="s">
        <v>124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5" customFormat="1" ht="11.25">
      <c r="A8" s="7"/>
      <c r="B8" s="7"/>
      <c r="C8" s="8" t="s">
        <v>4</v>
      </c>
      <c r="D8" s="7"/>
      <c r="E8" s="4"/>
      <c r="F8" s="7"/>
      <c r="G8" s="57">
        <v>1</v>
      </c>
      <c r="H8" s="7"/>
      <c r="I8" s="7">
        <v>1</v>
      </c>
      <c r="J8" s="7"/>
      <c r="K8" s="7">
        <v>1</v>
      </c>
      <c r="L8" s="7"/>
      <c r="M8" s="7">
        <v>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5" customFormat="1" ht="11.25">
      <c r="A9" s="7"/>
      <c r="B9" s="7"/>
      <c r="C9" s="8" t="s">
        <v>5</v>
      </c>
      <c r="D9" s="7"/>
      <c r="E9" s="4"/>
      <c r="F9" s="7"/>
      <c r="G9" s="57">
        <v>14</v>
      </c>
      <c r="H9" s="7"/>
      <c r="I9" s="7">
        <v>12</v>
      </c>
      <c r="J9" s="7"/>
      <c r="K9" s="7">
        <v>19</v>
      </c>
      <c r="L9" s="7"/>
      <c r="M9" s="7">
        <v>32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5" customFormat="1" ht="11.25">
      <c r="A10" s="4"/>
      <c r="B10" s="4"/>
      <c r="C10" s="8" t="s">
        <v>6</v>
      </c>
      <c r="D10" s="4"/>
      <c r="E10" s="4"/>
      <c r="F10" s="7"/>
      <c r="G10" s="57">
        <v>26</v>
      </c>
      <c r="H10" s="7"/>
      <c r="I10" s="7">
        <v>11</v>
      </c>
      <c r="J10" s="7"/>
      <c r="K10" s="7">
        <v>15</v>
      </c>
      <c r="L10" s="7"/>
      <c r="M10" s="7">
        <v>16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5" customFormat="1" ht="12.75" customHeight="1">
      <c r="A11" s="4"/>
      <c r="B11" s="4"/>
      <c r="C11" s="8" t="s">
        <v>7</v>
      </c>
      <c r="D11" s="4"/>
      <c r="E11" s="4"/>
      <c r="F11" s="7"/>
      <c r="G11" s="57">
        <v>133</v>
      </c>
      <c r="H11" s="7"/>
      <c r="I11" s="7">
        <v>128</v>
      </c>
      <c r="J11" s="7"/>
      <c r="K11" s="7">
        <v>128</v>
      </c>
      <c r="L11" s="7"/>
      <c r="M11" s="7">
        <v>172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5" customFormat="1" ht="12.75" customHeight="1">
      <c r="A12" s="4"/>
      <c r="B12" s="4"/>
      <c r="C12" s="8" t="s">
        <v>8</v>
      </c>
      <c r="D12" s="4"/>
      <c r="E12" s="4"/>
      <c r="F12" s="7"/>
      <c r="G12" s="57" t="s">
        <v>11</v>
      </c>
      <c r="H12" s="7"/>
      <c r="I12" s="7">
        <v>52</v>
      </c>
      <c r="J12" s="7"/>
      <c r="K12" s="7">
        <v>67</v>
      </c>
      <c r="L12" s="7"/>
      <c r="M12" s="7">
        <v>85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5" customFormat="1" ht="12.75" customHeight="1">
      <c r="A13" s="4"/>
      <c r="B13" s="4"/>
      <c r="C13" s="4"/>
      <c r="D13" s="47"/>
      <c r="E13" s="4"/>
      <c r="F13" s="7"/>
      <c r="G13" s="57"/>
      <c r="H13" s="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5" customFormat="1" ht="11.25">
      <c r="A14" s="10" t="s">
        <v>12</v>
      </c>
      <c r="B14" s="10"/>
      <c r="C14" s="11"/>
      <c r="D14" s="12"/>
      <c r="E14" s="12"/>
      <c r="F14" s="13" t="s">
        <v>13</v>
      </c>
      <c r="G14" s="14">
        <v>3412000</v>
      </c>
      <c r="H14" s="43"/>
      <c r="I14" s="14">
        <v>5827000</v>
      </c>
      <c r="J14" s="43"/>
      <c r="K14" s="14">
        <v>6183000</v>
      </c>
      <c r="L14" s="43"/>
      <c r="M14" s="14">
        <v>7410000</v>
      </c>
      <c r="N14" s="18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5" customFormat="1" ht="12" thickBot="1">
      <c r="A15" s="4" t="s">
        <v>14</v>
      </c>
      <c r="B15" s="4" t="s">
        <v>15</v>
      </c>
      <c r="C15" s="15"/>
      <c r="D15" s="18"/>
      <c r="E15" s="4"/>
      <c r="F15" s="16"/>
      <c r="G15" s="17">
        <f>IF(ISERROR(FIND("LOT ONLY",Model,1)),IF(SellingPrice&gt;3199200,(G14-(G14/1.12)),0),IF(SellingPrice&gt;1919500,(G14-(G14/1.12)),0))</f>
        <v>365571.42857142864</v>
      </c>
      <c r="H15" s="17"/>
      <c r="I15" s="17">
        <f>IF(ISERROR(FIND("LOT ONLY",Model,1)),IF(SellingPrice&gt;3199200,(I14-(I14/1.12)),0),IF(SellingPrice&gt;1919500,(I14-(I14/1.12)),0))</f>
        <v>624321.4285714291</v>
      </c>
      <c r="J15" s="17"/>
      <c r="K15" s="17">
        <f>IF(ISERROR(FIND("LOT ONLY",Model,1)),IF(SellingPrice&gt;3199200,(K14-(K14/1.12)),0),IF(SellingPrice&gt;1919500,(K14-(K14/1.12)),0))</f>
        <v>662464.2857142864</v>
      </c>
      <c r="L15" s="17"/>
      <c r="M15" s="17">
        <f>IF(ISERROR(FIND("LOT ONLY",Model,1)),IF(SellingPrice&gt;3199200,(M14-(M14/1.12)),0),IF(SellingPrice&gt;1919500,(M14-(M14/1.12)),0))</f>
        <v>793928.5714285718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5" customFormat="1" ht="11.25" hidden="1">
      <c r="A16" s="6">
        <v>0</v>
      </c>
      <c r="B16" s="4" t="s">
        <v>106</v>
      </c>
      <c r="C16" s="4"/>
      <c r="D16" s="18"/>
      <c r="E16" s="4"/>
      <c r="F16" s="16"/>
      <c r="G16" s="18">
        <f>(G14-G15)*(PercentageDiscount/100)*(SpotDownpayment/100)</f>
        <v>0</v>
      </c>
      <c r="H16" s="18"/>
      <c r="I16" s="18">
        <f>(I14-I15)*(PercentageDiscount/100)*(SpotDownpayment/100)</f>
        <v>0</v>
      </c>
      <c r="J16" s="18"/>
      <c r="K16" s="18">
        <f>(K14-K15)*(PercentageDiscount/100)*(SpotDownpayment/100)</f>
        <v>0</v>
      </c>
      <c r="L16" s="18"/>
      <c r="M16" s="18">
        <f>(M14-M15)*(PercentageDiscount/100)*(SpotDownpayment/100)</f>
        <v>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5" customFormat="1" ht="11.25" hidden="1">
      <c r="A17" s="4"/>
      <c r="B17" s="4" t="s">
        <v>16</v>
      </c>
      <c r="C17" s="4"/>
      <c r="D17" s="4"/>
      <c r="E17" s="4"/>
      <c r="F17" s="4"/>
      <c r="G17" s="18"/>
      <c r="H17" s="18"/>
      <c r="I17" s="18"/>
      <c r="J17" s="18"/>
      <c r="K17" s="18"/>
      <c r="L17" s="18"/>
      <c r="M17" s="18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11.25" hidden="1">
      <c r="A18" s="4"/>
      <c r="B18" s="4" t="s">
        <v>17</v>
      </c>
      <c r="C18" s="4"/>
      <c r="D18" s="4"/>
      <c r="E18" s="4"/>
      <c r="F18" s="4"/>
      <c r="G18" s="18"/>
      <c r="H18" s="18"/>
      <c r="I18" s="18"/>
      <c r="J18" s="18"/>
      <c r="K18" s="18"/>
      <c r="L18" s="18"/>
      <c r="M18" s="1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1.25" hidden="1">
      <c r="A19" s="4"/>
      <c r="B19" s="4" t="s">
        <v>18</v>
      </c>
      <c r="C19" s="4"/>
      <c r="D19" s="4"/>
      <c r="E19" s="4"/>
      <c r="F19" s="4"/>
      <c r="G19" s="18"/>
      <c r="H19" s="18"/>
      <c r="I19" s="18"/>
      <c r="J19" s="18"/>
      <c r="K19" s="18"/>
      <c r="L19" s="18"/>
      <c r="M19" s="18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6" customFormat="1" ht="12" hidden="1" thickBot="1">
      <c r="A20" s="4"/>
      <c r="B20" s="59" t="s">
        <v>115</v>
      </c>
      <c r="C20" s="45"/>
      <c r="D20" s="45"/>
      <c r="E20" s="4"/>
      <c r="F20" s="4"/>
      <c r="G20" s="18"/>
      <c r="H20" s="18"/>
      <c r="I20" s="18"/>
      <c r="J20" s="18"/>
      <c r="K20" s="18"/>
      <c r="L20" s="18"/>
      <c r="M20" s="18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6" customFormat="1" ht="11.25" hidden="1">
      <c r="A21" s="4"/>
      <c r="B21" s="55"/>
      <c r="C21" s="4"/>
      <c r="D21" s="4"/>
      <c r="E21" s="4"/>
      <c r="F21" s="4"/>
      <c r="G21" s="18"/>
      <c r="H21" s="18"/>
      <c r="I21" s="18"/>
      <c r="J21" s="18"/>
      <c r="K21" s="18"/>
      <c r="L21" s="18"/>
      <c r="M21" s="18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6" customFormat="1" ht="11.25" hidden="1">
      <c r="A22" s="4"/>
      <c r="B22" s="4" t="s">
        <v>21</v>
      </c>
      <c r="C22" s="4"/>
      <c r="D22" s="4"/>
      <c r="E22" s="4"/>
      <c r="F22" s="4"/>
      <c r="G22" s="18">
        <v>0</v>
      </c>
      <c r="H22" s="18"/>
      <c r="I22" s="18">
        <v>0</v>
      </c>
      <c r="J22" s="18"/>
      <c r="K22" s="18">
        <v>0</v>
      </c>
      <c r="L22" s="18"/>
      <c r="M22" s="18">
        <v>0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6" customFormat="1" ht="11.25" hidden="1">
      <c r="A23" s="4"/>
      <c r="B23" s="4" t="s">
        <v>22</v>
      </c>
      <c r="C23" s="4"/>
      <c r="D23" s="4"/>
      <c r="E23" s="4"/>
      <c r="F23" s="4"/>
      <c r="G23" s="18">
        <v>0</v>
      </c>
      <c r="H23" s="18"/>
      <c r="I23" s="18">
        <v>0</v>
      </c>
      <c r="J23" s="18"/>
      <c r="K23" s="18">
        <v>0</v>
      </c>
      <c r="L23" s="18"/>
      <c r="M23" s="18">
        <v>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6" customFormat="1" ht="11.25" hidden="1">
      <c r="A24" s="4"/>
      <c r="B24" s="4" t="s">
        <v>99</v>
      </c>
      <c r="C24" s="4"/>
      <c r="D24" s="4"/>
      <c r="E24" s="4"/>
      <c r="F24" s="4"/>
      <c r="G24" s="18">
        <v>0</v>
      </c>
      <c r="H24" s="18"/>
      <c r="I24" s="18">
        <v>0</v>
      </c>
      <c r="J24" s="18"/>
      <c r="K24" s="18">
        <v>0</v>
      </c>
      <c r="L24" s="18"/>
      <c r="M24" s="18">
        <v>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1.25" hidden="1">
      <c r="A25" s="4"/>
      <c r="B25" s="4" t="s">
        <v>24</v>
      </c>
      <c r="C25" s="4"/>
      <c r="D25" s="4"/>
      <c r="E25" s="4"/>
      <c r="F25" s="4"/>
      <c r="G25" s="18">
        <v>0</v>
      </c>
      <c r="H25" s="18"/>
      <c r="I25" s="18">
        <v>0</v>
      </c>
      <c r="J25" s="18"/>
      <c r="K25" s="18">
        <v>0</v>
      </c>
      <c r="L25" s="18"/>
      <c r="M25" s="18">
        <v>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1.25" hidden="1">
      <c r="A26" s="4"/>
      <c r="B26" s="4" t="s">
        <v>25</v>
      </c>
      <c r="C26" s="4"/>
      <c r="D26" s="4"/>
      <c r="E26" s="4"/>
      <c r="F26" s="4"/>
      <c r="G26" s="18">
        <v>0</v>
      </c>
      <c r="H26" s="18"/>
      <c r="I26" s="18">
        <v>0</v>
      </c>
      <c r="J26" s="18"/>
      <c r="K26" s="18">
        <v>0</v>
      </c>
      <c r="L26" s="18"/>
      <c r="M26" s="18">
        <v>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3.5" customHeight="1" hidden="1" thickBot="1">
      <c r="A27" s="4"/>
      <c r="B27" s="98" t="s">
        <v>116</v>
      </c>
      <c r="C27" s="98"/>
      <c r="D27" s="98"/>
      <c r="E27" s="4"/>
      <c r="F27" s="16"/>
      <c r="G27" s="19"/>
      <c r="H27" s="19"/>
      <c r="I27" s="19"/>
      <c r="J27" s="19"/>
      <c r="K27" s="19"/>
      <c r="L27" s="19"/>
      <c r="M27" s="19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3.5" customHeight="1" thickTop="1">
      <c r="A28" s="10" t="s">
        <v>26</v>
      </c>
      <c r="B28" s="20"/>
      <c r="C28" s="12"/>
      <c r="D28" s="12"/>
      <c r="E28" s="12"/>
      <c r="F28" s="13" t="s">
        <v>13</v>
      </c>
      <c r="G28" s="21">
        <f>(G14-G15)-SUM(G16:G26)</f>
        <v>3046428.5714285714</v>
      </c>
      <c r="H28" s="19"/>
      <c r="I28" s="21">
        <f>(I14-I15)-SUM(I16:I26)</f>
        <v>5202678.571428571</v>
      </c>
      <c r="J28" s="19"/>
      <c r="K28" s="21">
        <f>(K14-K15)-SUM(K16:K26)</f>
        <v>5520535.714285714</v>
      </c>
      <c r="L28" s="19"/>
      <c r="M28" s="21">
        <f>(M14-M15)-SUM(M16:M26)</f>
        <v>6616071.428571428</v>
      </c>
      <c r="N28" s="18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1.25">
      <c r="A29" s="4" t="s">
        <v>27</v>
      </c>
      <c r="B29" s="4" t="s">
        <v>15</v>
      </c>
      <c r="C29" s="4"/>
      <c r="D29" s="4"/>
      <c r="E29" s="4"/>
      <c r="F29" s="4"/>
      <c r="G29" s="18">
        <f>G28*12%</f>
        <v>365571.4285714285</v>
      </c>
      <c r="H29" s="18"/>
      <c r="I29" s="18">
        <f>I28*12%</f>
        <v>624321.4285714285</v>
      </c>
      <c r="J29" s="18"/>
      <c r="K29" s="18">
        <f>K28*12%</f>
        <v>662464.2857142856</v>
      </c>
      <c r="L29" s="18"/>
      <c r="M29" s="18">
        <f>M28*12%</f>
        <v>793928.5714285714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1.25" hidden="1">
      <c r="A30" s="6">
        <v>5</v>
      </c>
      <c r="B30" s="4" t="s">
        <v>28</v>
      </c>
      <c r="C30" s="4"/>
      <c r="D30" s="4"/>
      <c r="E30" s="4"/>
      <c r="F30" s="4"/>
      <c r="G30" s="18" t="e">
        <f>ROUND(G28*(#REF!/100),2)</f>
        <v>#REF!</v>
      </c>
      <c r="H30" s="18"/>
      <c r="I30" s="18" t="e">
        <f>ROUND(I28*(B30/100),2)</f>
        <v>#VALUE!</v>
      </c>
      <c r="J30" s="18"/>
      <c r="K30" s="18">
        <f>ROUND(K28*(C30/100),2)</f>
        <v>0</v>
      </c>
      <c r="L30" s="18"/>
      <c r="M30" s="18">
        <f>ROUND(M28*(D30/100),2)</f>
        <v>0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1.25" hidden="1">
      <c r="A31" s="6"/>
      <c r="B31" s="4" t="s">
        <v>29</v>
      </c>
      <c r="C31" s="4"/>
      <c r="D31" s="4"/>
      <c r="E31" s="4"/>
      <c r="F31" s="6">
        <f>IF(G31&gt;50000,50000,G31)</f>
        <v>0</v>
      </c>
      <c r="G31" s="18">
        <v>0</v>
      </c>
      <c r="H31" s="18"/>
      <c r="I31" s="18">
        <v>0</v>
      </c>
      <c r="J31" s="18"/>
      <c r="K31" s="18">
        <v>0</v>
      </c>
      <c r="L31" s="18"/>
      <c r="M31" s="18">
        <v>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1.25" hidden="1">
      <c r="A32" s="6"/>
      <c r="B32" s="4" t="s">
        <v>30</v>
      </c>
      <c r="C32" s="4"/>
      <c r="D32" s="4"/>
      <c r="E32" s="4"/>
      <c r="F32" s="4"/>
      <c r="G32" s="18">
        <v>0</v>
      </c>
      <c r="H32" s="18"/>
      <c r="I32" s="18">
        <v>0</v>
      </c>
      <c r="J32" s="18"/>
      <c r="K32" s="18">
        <v>0</v>
      </c>
      <c r="L32" s="18"/>
      <c r="M32" s="18">
        <v>0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3.5" customHeight="1" thickBot="1">
      <c r="A33" s="6"/>
      <c r="B33" s="4" t="s">
        <v>31</v>
      </c>
      <c r="C33" s="4"/>
      <c r="D33" s="4"/>
      <c r="E33" s="4"/>
      <c r="F33" s="4"/>
      <c r="G33" s="18">
        <f>G28*7%</f>
        <v>213250.00000000003</v>
      </c>
      <c r="H33" s="18"/>
      <c r="I33" s="18">
        <f>I28*7%</f>
        <v>364187.5</v>
      </c>
      <c r="J33" s="18"/>
      <c r="K33" s="18">
        <f>K28*7%</f>
        <v>386437.5</v>
      </c>
      <c r="L33" s="18"/>
      <c r="M33" s="18">
        <f>M28*7%</f>
        <v>463125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3.5" customHeight="1" thickTop="1">
      <c r="A34" s="10" t="s">
        <v>32</v>
      </c>
      <c r="B34" s="12"/>
      <c r="C34" s="12"/>
      <c r="D34" s="12"/>
      <c r="E34" s="12"/>
      <c r="F34" s="13" t="s">
        <v>13</v>
      </c>
      <c r="G34" s="21">
        <f>G28+SUM(G29,G33)</f>
        <v>3625250</v>
      </c>
      <c r="H34" s="19"/>
      <c r="I34" s="21">
        <f>I28+SUM(I29,I33)</f>
        <v>6191187.499999999</v>
      </c>
      <c r="J34" s="19"/>
      <c r="K34" s="21">
        <f>K28+SUM(K29,K33)</f>
        <v>6569437.499999999</v>
      </c>
      <c r="L34" s="19"/>
      <c r="M34" s="21">
        <f>M28+SUM(M29,M33)</f>
        <v>7873125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1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1.25">
      <c r="A36" s="3" t="s">
        <v>33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5" customFormat="1" ht="11.25">
      <c r="A37" s="22">
        <v>20</v>
      </c>
      <c r="B37" s="4" t="str">
        <f>CONCATENATE("Downpayment ("&amp;A37&amp;"% of Selling Price)")</f>
        <v>Downpayment (20% of Selling Price)</v>
      </c>
      <c r="C37" s="4"/>
      <c r="D37" s="4"/>
      <c r="E37" s="4"/>
      <c r="F37" s="4"/>
      <c r="G37" s="18">
        <f>ROUND((G28+G29)*(Downpayment/100),2)</f>
        <v>682400</v>
      </c>
      <c r="H37" s="18"/>
      <c r="I37" s="18">
        <f>ROUND((I28+I29)*(Downpayment/100),2)</f>
        <v>1165400</v>
      </c>
      <c r="J37" s="18"/>
      <c r="K37" s="18">
        <f>ROUND((K28+K29)*(Downpayment/100),2)</f>
        <v>1236600</v>
      </c>
      <c r="L37" s="18"/>
      <c r="M37" s="18">
        <f>ROUND((M28+M29)*(Downpayment/100),2)</f>
        <v>1482000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5" customFormat="1" ht="13.5" customHeight="1" thickBot="1">
      <c r="A38" s="3"/>
      <c r="B38" s="4" t="s">
        <v>34</v>
      </c>
      <c r="C38" s="4"/>
      <c r="D38" s="4"/>
      <c r="E38" s="4"/>
      <c r="F38" s="4"/>
      <c r="G38" s="18">
        <f>ROUND(G33*(Downpayment/100),2)</f>
        <v>42650</v>
      </c>
      <c r="H38" s="18"/>
      <c r="I38" s="18">
        <f>ROUND(I33*(Downpayment/100),2)</f>
        <v>72837.5</v>
      </c>
      <c r="J38" s="18"/>
      <c r="K38" s="18">
        <f>ROUND(K33*(Downpayment/100),2)</f>
        <v>77287.5</v>
      </c>
      <c r="L38" s="18"/>
      <c r="M38" s="18">
        <f>ROUND(M33*(Downpayment/100),2)</f>
        <v>92625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5" customFormat="1" ht="13.5" customHeight="1" thickTop="1">
      <c r="A39" s="10" t="s">
        <v>35</v>
      </c>
      <c r="B39" s="12"/>
      <c r="C39" s="12"/>
      <c r="D39" s="12"/>
      <c r="E39" s="12"/>
      <c r="F39" s="13" t="s">
        <v>13</v>
      </c>
      <c r="G39" s="21">
        <f>SUM(G37:G38)</f>
        <v>725050</v>
      </c>
      <c r="H39" s="19"/>
      <c r="I39" s="21">
        <f>SUM(I37:I38)</f>
        <v>1238237.5</v>
      </c>
      <c r="J39" s="19"/>
      <c r="K39" s="21">
        <f>SUM(K37:K38)</f>
        <v>1313887.5</v>
      </c>
      <c r="L39" s="19"/>
      <c r="M39" s="21">
        <f>SUM(M37:M38)</f>
        <v>1574625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5" customFormat="1" ht="13.5" customHeight="1" thickBot="1">
      <c r="A40" s="61" t="s">
        <v>14</v>
      </c>
      <c r="B40" s="61" t="s">
        <v>36</v>
      </c>
      <c r="C40" s="61"/>
      <c r="D40" s="62"/>
      <c r="E40" s="61"/>
      <c r="F40" s="63">
        <f>DATE(2014,5,28)</f>
        <v>41787</v>
      </c>
      <c r="G40" s="64">
        <v>20000</v>
      </c>
      <c r="H40" s="64"/>
      <c r="I40" s="64">
        <v>20000</v>
      </c>
      <c r="J40" s="64"/>
      <c r="K40" s="64">
        <v>20000</v>
      </c>
      <c r="L40" s="64"/>
      <c r="M40" s="64">
        <v>20000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5" customFormat="1" ht="13.5" customHeight="1" thickTop="1">
      <c r="A41" s="10" t="s">
        <v>37</v>
      </c>
      <c r="B41" s="12"/>
      <c r="C41" s="12"/>
      <c r="D41" s="12"/>
      <c r="E41" s="24"/>
      <c r="F41" s="13" t="s">
        <v>13</v>
      </c>
      <c r="G41" s="21">
        <f>G39-G40</f>
        <v>705050</v>
      </c>
      <c r="H41" s="19"/>
      <c r="I41" s="21">
        <f>I39-I40</f>
        <v>1218237.5</v>
      </c>
      <c r="J41" s="19"/>
      <c r="K41" s="21">
        <f>K39-K40</f>
        <v>1293887.5</v>
      </c>
      <c r="L41" s="19"/>
      <c r="M41" s="21">
        <f>M39-M40</f>
        <v>1554625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5" customFormat="1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5" customFormat="1" ht="11.25" hidden="1">
      <c r="A43" s="6">
        <v>10</v>
      </c>
      <c r="B43" s="41" t="str">
        <f>CONCATENATE("Spot Downpayment ("&amp;A43&amp;"% of Selling Price)")</f>
        <v>Spot Downpayment (10% of Selling Price)</v>
      </c>
      <c r="C43" s="4"/>
      <c r="D43" s="4"/>
      <c r="E43" s="9"/>
      <c r="F43" s="23"/>
      <c r="G43" s="18">
        <f>ROUND((SUM(G28:G29)*(A43/100))-G40,2)</f>
        <v>321200</v>
      </c>
      <c r="H43" s="18"/>
      <c r="I43" s="18">
        <f>ROUND((SUM(I28:I29)*(SpotDownpayment/100))-I40,2)</f>
        <v>562700</v>
      </c>
      <c r="J43" s="18"/>
      <c r="K43" s="18">
        <f>ROUND((SUM(K28:K29)*(SpotDownpayment/100))-K40,2)</f>
        <v>598300</v>
      </c>
      <c r="L43" s="18"/>
      <c r="M43" s="18">
        <f>ROUND((SUM(M28:M29)*(SpotDownpayment/100))-M40,2)</f>
        <v>721000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5" customFormat="1" ht="13.5" customHeight="1" hidden="1" thickBot="1">
      <c r="A44" s="4"/>
      <c r="B44" s="4" t="s">
        <v>28</v>
      </c>
      <c r="C44" s="4"/>
      <c r="D44" s="4"/>
      <c r="E44" s="9"/>
      <c r="F44" s="23"/>
      <c r="G44" s="18">
        <f>ROUND(G33*(A43/100),2)</f>
        <v>21325</v>
      </c>
      <c r="H44" s="18"/>
      <c r="I44" s="18">
        <f>ROUND(I33*(SpotDownpayment/100),2)</f>
        <v>36418.75</v>
      </c>
      <c r="J44" s="18"/>
      <c r="K44" s="18">
        <f>ROUND(K33*(SpotDownpayment/100),2)</f>
        <v>38643.75</v>
      </c>
      <c r="L44" s="18"/>
      <c r="M44" s="18">
        <f>ROUND(M33*(SpotDownpayment/100),2)</f>
        <v>46312.5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5" customFormat="1" ht="25.5" customHeight="1">
      <c r="A45" s="4"/>
      <c r="B45" s="97"/>
      <c r="C45" s="97"/>
      <c r="D45" s="97"/>
      <c r="E45" s="9"/>
      <c r="F45" s="23"/>
      <c r="G45" s="90" t="s">
        <v>104</v>
      </c>
      <c r="H45" s="90"/>
      <c r="I45" s="90"/>
      <c r="J45" s="90"/>
      <c r="K45" s="90"/>
      <c r="L45" s="90"/>
      <c r="M45" s="90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5" customFormat="1" ht="11.25">
      <c r="A46" s="93" t="s">
        <v>118</v>
      </c>
      <c r="B46" s="93"/>
      <c r="C46" s="93"/>
      <c r="D46" s="93"/>
      <c r="E46" s="65"/>
      <c r="F46" s="63"/>
      <c r="G46" s="71">
        <f>G41/12</f>
        <v>58754.166666666664</v>
      </c>
      <c r="H46" s="72"/>
      <c r="I46" s="71">
        <f>I41/18</f>
        <v>67679.86111111111</v>
      </c>
      <c r="J46" s="72"/>
      <c r="K46" s="71">
        <f>K41/18</f>
        <v>71882.63888888889</v>
      </c>
      <c r="L46" s="72"/>
      <c r="M46" s="71">
        <f>M41/18</f>
        <v>86368.05555555556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5" customFormat="1" ht="11.25" hidden="1">
      <c r="A47" s="6"/>
      <c r="B47" s="41"/>
      <c r="C47" s="4"/>
      <c r="D47" s="4"/>
      <c r="E47" s="9"/>
      <c r="F47" s="23"/>
      <c r="G47" s="18"/>
      <c r="H47" s="18"/>
      <c r="I47" s="18"/>
      <c r="J47" s="18"/>
      <c r="K47" s="18"/>
      <c r="L47" s="18"/>
      <c r="M47" s="18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5" customFormat="1" ht="11.25" hidden="1">
      <c r="A48" s="4"/>
      <c r="B48" s="4"/>
      <c r="C48" s="4"/>
      <c r="D48" s="4"/>
      <c r="E48" s="9"/>
      <c r="F48" s="23"/>
      <c r="G48" s="18"/>
      <c r="H48" s="18"/>
      <c r="I48" s="18"/>
      <c r="J48" s="18"/>
      <c r="K48" s="18"/>
      <c r="L48" s="18"/>
      <c r="M48" s="18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5" customFormat="1" ht="12" hidden="1" thickTop="1">
      <c r="A49" s="4"/>
      <c r="B49" s="42"/>
      <c r="C49" s="4"/>
      <c r="D49" s="4"/>
      <c r="E49" s="9"/>
      <c r="F49" s="23"/>
      <c r="G49" s="25"/>
      <c r="H49" s="44"/>
      <c r="I49" s="25"/>
      <c r="J49" s="44"/>
      <c r="K49" s="25"/>
      <c r="L49" s="44"/>
      <c r="M49" s="2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5" customFormat="1" ht="11.25" hidden="1">
      <c r="A50" s="4"/>
      <c r="B50" s="4"/>
      <c r="C50" s="4"/>
      <c r="D50" s="4"/>
      <c r="E50" s="9"/>
      <c r="F50" s="23"/>
      <c r="G50" s="26"/>
      <c r="H50" s="26"/>
      <c r="I50" s="26"/>
      <c r="J50" s="26"/>
      <c r="K50" s="26"/>
      <c r="L50" s="26"/>
      <c r="M50" s="2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5" customFormat="1" ht="11.25">
      <c r="A51" s="27"/>
      <c r="B51" s="92"/>
      <c r="C51" s="92"/>
      <c r="D51" s="92"/>
      <c r="E51" s="27"/>
      <c r="F51" s="28"/>
      <c r="G51" s="90"/>
      <c r="H51" s="90"/>
      <c r="I51" s="90"/>
      <c r="J51" s="90"/>
      <c r="K51" s="90"/>
      <c r="L51" s="90"/>
      <c r="M51" s="90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5" customFormat="1" ht="11.25">
      <c r="A52" s="3" t="s">
        <v>77</v>
      </c>
      <c r="B52" s="4"/>
      <c r="C52" s="4"/>
      <c r="D52" s="38"/>
      <c r="E52" s="17"/>
      <c r="F52" s="31"/>
      <c r="G52" s="18"/>
      <c r="H52" s="18"/>
      <c r="I52" s="18"/>
      <c r="J52" s="18"/>
      <c r="K52" s="18"/>
      <c r="L52" s="18"/>
      <c r="M52" s="1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5" customFormat="1" ht="11.25" customHeight="1">
      <c r="A53" s="61"/>
      <c r="B53" s="61" t="s">
        <v>88</v>
      </c>
      <c r="C53" s="61"/>
      <c r="D53" s="73"/>
      <c r="E53" s="67"/>
      <c r="F53" s="68"/>
      <c r="G53" s="74">
        <f>G34*80%</f>
        <v>2900200</v>
      </c>
      <c r="H53" s="70"/>
      <c r="I53" s="74">
        <f>I34*80%</f>
        <v>4952949.999999999</v>
      </c>
      <c r="J53" s="70"/>
      <c r="K53" s="74">
        <f>K34*80%</f>
        <v>5255550</v>
      </c>
      <c r="L53" s="70"/>
      <c r="M53" s="74">
        <f>M34*80%</f>
        <v>6298500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5" customFormat="1" ht="11.25">
      <c r="A54" s="29"/>
      <c r="B54" s="29"/>
      <c r="C54" s="29"/>
      <c r="D54" s="30"/>
      <c r="E54" s="17"/>
      <c r="F54" s="31"/>
      <c r="G54" s="18"/>
      <c r="H54" s="18"/>
      <c r="I54" s="18"/>
      <c r="J54" s="18"/>
      <c r="K54" s="18"/>
      <c r="L54" s="18"/>
      <c r="M54" s="1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5" customFormat="1" ht="11.25">
      <c r="A55" s="29"/>
      <c r="B55" s="3" t="s">
        <v>92</v>
      </c>
      <c r="C55" s="29"/>
      <c r="D55" s="30"/>
      <c r="E55" s="17"/>
      <c r="F55" s="31"/>
      <c r="G55" s="18"/>
      <c r="H55" s="18"/>
      <c r="I55" s="18"/>
      <c r="J55" s="18"/>
      <c r="K55" s="18"/>
      <c r="L55" s="18"/>
      <c r="M55" s="1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5" customFormat="1" ht="11.25">
      <c r="A56" s="29"/>
      <c r="B56" s="4" t="s">
        <v>89</v>
      </c>
      <c r="C56" s="29"/>
      <c r="D56" s="30"/>
      <c r="E56" s="17"/>
      <c r="F56" s="31"/>
      <c r="G56" s="52">
        <f>G53*0.0198012</f>
        <v>57427.44024</v>
      </c>
      <c r="H56" s="18"/>
      <c r="I56" s="52">
        <f>I53*0.0198012</f>
        <v>98074.35353999998</v>
      </c>
      <c r="J56" s="52"/>
      <c r="K56" s="52">
        <f>K53*0.0198012</f>
        <v>104066.19666</v>
      </c>
      <c r="L56" s="52"/>
      <c r="M56" s="52">
        <f>M53*0.0198012</f>
        <v>124717.8582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5" customFormat="1" ht="11.25">
      <c r="A57" s="29"/>
      <c r="B57" s="4" t="s">
        <v>90</v>
      </c>
      <c r="C57" s="29"/>
      <c r="D57" s="30"/>
      <c r="E57" s="17"/>
      <c r="F57" s="31"/>
      <c r="G57" s="52">
        <f>G53*0.01266758</f>
        <v>36738.515516</v>
      </c>
      <c r="H57" s="18"/>
      <c r="I57" s="52">
        <f>I53*0.01266758</f>
        <v>62741.89036099998</v>
      </c>
      <c r="J57" s="52"/>
      <c r="K57" s="52">
        <f>K53*0.01266758</f>
        <v>66575.100069</v>
      </c>
      <c r="L57" s="52"/>
      <c r="M57" s="52">
        <f>M53*0.01266758</f>
        <v>79786.75263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5" customFormat="1" ht="11.25">
      <c r="A58" s="3"/>
      <c r="B58" s="4" t="s">
        <v>91</v>
      </c>
      <c r="C58" s="4"/>
      <c r="D58" s="4"/>
      <c r="E58" s="4"/>
      <c r="F58" s="4"/>
      <c r="G58" s="52">
        <f>G53*0.01074605</f>
        <v>31165.69421</v>
      </c>
      <c r="H58" s="4"/>
      <c r="I58" s="52">
        <f>I53*0.01074605</f>
        <v>53224.64834749999</v>
      </c>
      <c r="J58" s="52"/>
      <c r="K58" s="52">
        <f>K53*0.01074605</f>
        <v>56476.4030775</v>
      </c>
      <c r="L58" s="52"/>
      <c r="M58" s="52">
        <f>M53*0.01074605</f>
        <v>67683.995925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5" customFormat="1" ht="11.25">
      <c r="A59" s="4"/>
      <c r="B59" s="4"/>
      <c r="C59" s="4"/>
      <c r="D59" s="4"/>
      <c r="E59" s="4"/>
      <c r="F59" s="32"/>
      <c r="G59" s="33"/>
      <c r="H59" s="33"/>
      <c r="I59" s="33"/>
      <c r="J59" s="33"/>
      <c r="K59" s="33"/>
      <c r="L59" s="33"/>
      <c r="M59" s="33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5" customFormat="1" ht="11.25">
      <c r="A60" s="3" t="s">
        <v>78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5" customFormat="1" ht="12.75">
      <c r="A61" s="4" t="s">
        <v>79</v>
      </c>
      <c r="B61" s="4"/>
      <c r="C61" s="4"/>
      <c r="D61" s="4"/>
      <c r="E61" s="4"/>
      <c r="F61" s="4"/>
      <c r="G61" s="4"/>
      <c r="H61" s="4"/>
      <c r="I61" s="4"/>
      <c r="J61" s="4"/>
      <c r="K61" s="48"/>
      <c r="L61" s="49"/>
      <c r="M61" s="49"/>
      <c r="N61" s="50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5" customFormat="1" ht="12.75">
      <c r="A62" s="4" t="s">
        <v>80</v>
      </c>
      <c r="B62" s="4"/>
      <c r="C62" s="4"/>
      <c r="D62" s="4"/>
      <c r="E62" s="4"/>
      <c r="F62" s="4"/>
      <c r="G62" s="4"/>
      <c r="H62" s="4"/>
      <c r="I62" s="4"/>
      <c r="J62" s="4"/>
      <c r="K62" s="48"/>
      <c r="L62" s="49"/>
      <c r="M62" s="49"/>
      <c r="N62" s="51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5" customFormat="1" ht="12.75">
      <c r="A63" s="4" t="s">
        <v>81</v>
      </c>
      <c r="B63" s="4"/>
      <c r="C63" s="4"/>
      <c r="D63" s="4"/>
      <c r="E63" s="4"/>
      <c r="F63" s="4"/>
      <c r="G63" s="4"/>
      <c r="H63" s="4"/>
      <c r="I63" s="4"/>
      <c r="J63" s="4"/>
      <c r="K63" s="48"/>
      <c r="L63" s="49"/>
      <c r="M63" s="49"/>
      <c r="N63" s="51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5" customFormat="1" ht="11.25">
      <c r="A64" s="4" t="s">
        <v>82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5" customFormat="1" ht="11.25">
      <c r="A65" s="77" t="s">
        <v>83</v>
      </c>
      <c r="B65" s="77"/>
      <c r="C65" s="77"/>
      <c r="D65" s="77"/>
      <c r="E65" s="77"/>
      <c r="F65" s="77"/>
      <c r="G65" s="77"/>
      <c r="H65" s="1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5" customFormat="1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</sheetData>
  <sheetProtection/>
  <mergeCells count="12">
    <mergeCell ref="A2:M2"/>
    <mergeCell ref="A3:M3"/>
    <mergeCell ref="A4:M4"/>
    <mergeCell ref="A5:M5"/>
    <mergeCell ref="F7:G7"/>
    <mergeCell ref="B27:D27"/>
    <mergeCell ref="G45:M45"/>
    <mergeCell ref="A46:D46"/>
    <mergeCell ref="A65:G65"/>
    <mergeCell ref="B45:D45"/>
    <mergeCell ref="B51:D51"/>
    <mergeCell ref="G51:M51"/>
  </mergeCells>
  <conditionalFormatting sqref="B15 B29">
    <cfRule type="expression" priority="9" dxfId="71" stopIfTrue="1">
      <formula>G15=0</formula>
    </cfRule>
  </conditionalFormatting>
  <conditionalFormatting sqref="A54:C54 A55:A57 C55:C57">
    <cfRule type="expression" priority="11" dxfId="71" stopIfTrue="1">
      <formula>VALUE(NoDPSchedule)&lt;VALUE(LEFT(A54,2))</formula>
    </cfRule>
  </conditionalFormatting>
  <conditionalFormatting sqref="H15 H29">
    <cfRule type="expression" priority="12" dxfId="71" stopIfTrue="1">
      <formula>H15=0</formula>
    </cfRule>
  </conditionalFormatting>
  <conditionalFormatting sqref="I15:J15">
    <cfRule type="expression" priority="8" dxfId="71" stopIfTrue="1">
      <formula>I15=0</formula>
    </cfRule>
  </conditionalFormatting>
  <conditionalFormatting sqref="K15:L15">
    <cfRule type="expression" priority="7" dxfId="71" stopIfTrue="1">
      <formula>K15=0</formula>
    </cfRule>
  </conditionalFormatting>
  <conditionalFormatting sqref="M15">
    <cfRule type="expression" priority="6" dxfId="71" stopIfTrue="1">
      <formula>M15=0</formula>
    </cfRule>
  </conditionalFormatting>
  <conditionalFormatting sqref="I29:J29">
    <cfRule type="expression" priority="5" dxfId="71" stopIfTrue="1">
      <formula>I29=0</formula>
    </cfRule>
  </conditionalFormatting>
  <conditionalFormatting sqref="K29:M29">
    <cfRule type="expression" priority="4" dxfId="71" stopIfTrue="1">
      <formula>K29=0</formula>
    </cfRule>
  </conditionalFormatting>
  <conditionalFormatting sqref="G15">
    <cfRule type="expression" priority="2" dxfId="71" stopIfTrue="1">
      <formula>G15=0</formula>
    </cfRule>
  </conditionalFormatting>
  <conditionalFormatting sqref="G29">
    <cfRule type="expression" priority="1" dxfId="71" stopIfTrue="1">
      <formula>G29=0</formula>
    </cfRule>
  </conditionalFormatting>
  <printOptions horizontalCentered="1"/>
  <pageMargins left="0.12" right="0.2" top="0.5" bottom="0.5" header="0.5" footer="0.5"/>
  <pageSetup horizontalDpi="300" verticalDpi="3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V107"/>
  <sheetViews>
    <sheetView zoomScalePageLayoutView="0" workbookViewId="0" topLeftCell="A1">
      <selection activeCell="D34" sqref="D34"/>
    </sheetView>
  </sheetViews>
  <sheetFormatPr defaultColWidth="12.375" defaultRowHeight="12.75" customHeight="1"/>
  <cols>
    <col min="1" max="3" width="12.375" style="1" customWidth="1"/>
    <col min="4" max="4" width="16.25390625" style="1" customWidth="1"/>
    <col min="5" max="5" width="38.125" style="1" hidden="1" customWidth="1"/>
    <col min="6" max="6" width="12.375" style="1" hidden="1" customWidth="1"/>
    <col min="7" max="7" width="18.625" style="1" customWidth="1"/>
    <col min="8" max="8" width="1.625" style="1" customWidth="1"/>
    <col min="9" max="9" width="18.625" style="1" customWidth="1"/>
    <col min="10" max="10" width="1.625" style="1" customWidth="1"/>
    <col min="11" max="11" width="18.625" style="1" customWidth="1"/>
    <col min="12" max="12" width="1.625" style="1" customWidth="1"/>
    <col min="13" max="13" width="18.625" style="1" customWidth="1"/>
    <col min="14" max="14" width="13.75390625" style="1" bestFit="1" customWidth="1"/>
    <col min="15" max="16384" width="12.375" style="1" customWidth="1"/>
  </cols>
  <sheetData>
    <row r="1" ht="15" customHeight="1" thickBot="1">
      <c r="A1" s="46"/>
    </row>
    <row r="2" spans="1:13" ht="15.75" customHeight="1" thickTop="1">
      <c r="A2" s="78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ht="14.25" customHeight="1">
      <c r="A3" s="81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3" ht="30" customHeight="1">
      <c r="A4" s="87" t="s">
        <v>96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</row>
    <row r="5" spans="1:13" ht="13.5" customHeight="1" thickBot="1">
      <c r="A5" s="84" t="s">
        <v>100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7:13" ht="13.5" customHeight="1" thickTop="1">
      <c r="G6" s="2"/>
      <c r="H6" s="2"/>
      <c r="I6" s="2"/>
      <c r="J6" s="2"/>
      <c r="K6" s="2"/>
      <c r="L6" s="2"/>
      <c r="M6" s="2"/>
    </row>
    <row r="7" spans="1:256" s="5" customFormat="1" ht="13.5" customHeight="1">
      <c r="A7" s="7"/>
      <c r="B7" s="7"/>
      <c r="C7" s="8" t="s">
        <v>9</v>
      </c>
      <c r="D7" s="8"/>
      <c r="E7" s="4"/>
      <c r="F7" s="91" t="s">
        <v>114</v>
      </c>
      <c r="G7" s="91"/>
      <c r="H7" s="8"/>
      <c r="I7" s="34" t="s">
        <v>95</v>
      </c>
      <c r="J7" s="8"/>
      <c r="K7" s="35" t="s">
        <v>120</v>
      </c>
      <c r="L7" s="8"/>
      <c r="M7" s="36" t="s">
        <v>111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5" customFormat="1" ht="11.25">
      <c r="A8" s="7"/>
      <c r="B8" s="7"/>
      <c r="C8" s="8" t="s">
        <v>4</v>
      </c>
      <c r="D8" s="7"/>
      <c r="E8" s="4"/>
      <c r="F8" s="7"/>
      <c r="G8" s="57">
        <v>1</v>
      </c>
      <c r="H8" s="7"/>
      <c r="I8" s="7">
        <v>1</v>
      </c>
      <c r="J8" s="7"/>
      <c r="K8" s="7">
        <v>1</v>
      </c>
      <c r="L8" s="7"/>
      <c r="M8" s="7">
        <v>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5" customFormat="1" ht="11.25">
      <c r="A9" s="7"/>
      <c r="B9" s="7"/>
      <c r="C9" s="8" t="s">
        <v>5</v>
      </c>
      <c r="D9" s="7"/>
      <c r="E9" s="4"/>
      <c r="F9" s="7"/>
      <c r="G9" s="57" t="s">
        <v>117</v>
      </c>
      <c r="H9" s="7"/>
      <c r="I9" s="7" t="s">
        <v>117</v>
      </c>
      <c r="J9" s="7"/>
      <c r="K9" s="7" t="s">
        <v>117</v>
      </c>
      <c r="L9" s="7"/>
      <c r="M9" s="7" t="s">
        <v>112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5" customFormat="1" ht="11.25">
      <c r="A10" s="4"/>
      <c r="B10" s="4"/>
      <c r="C10" s="8" t="s">
        <v>6</v>
      </c>
      <c r="D10" s="4"/>
      <c r="E10" s="4"/>
      <c r="F10" s="7"/>
      <c r="G10" s="57">
        <v>25</v>
      </c>
      <c r="H10" s="7"/>
      <c r="I10" s="7">
        <v>25</v>
      </c>
      <c r="J10" s="7"/>
      <c r="K10" s="7">
        <v>18</v>
      </c>
      <c r="L10" s="7"/>
      <c r="M10" s="7">
        <v>3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5" customFormat="1" ht="12.75" customHeight="1">
      <c r="A11" s="4"/>
      <c r="B11" s="4"/>
      <c r="C11" s="8" t="s">
        <v>7</v>
      </c>
      <c r="D11" s="4"/>
      <c r="E11" s="4"/>
      <c r="F11" s="7"/>
      <c r="G11" s="57">
        <v>274</v>
      </c>
      <c r="H11" s="7"/>
      <c r="I11" s="7">
        <v>274</v>
      </c>
      <c r="J11" s="7"/>
      <c r="K11" s="7">
        <v>317</v>
      </c>
      <c r="L11" s="7"/>
      <c r="M11" s="7">
        <v>327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5" customFormat="1" ht="12.75" customHeight="1">
      <c r="A12" s="4"/>
      <c r="B12" s="4"/>
      <c r="C12" s="8" t="s">
        <v>8</v>
      </c>
      <c r="D12" s="4"/>
      <c r="E12" s="4"/>
      <c r="F12" s="7"/>
      <c r="G12" s="57">
        <v>98</v>
      </c>
      <c r="H12" s="7"/>
      <c r="I12" s="7">
        <v>117</v>
      </c>
      <c r="J12" s="7"/>
      <c r="K12" s="7">
        <v>129</v>
      </c>
      <c r="L12" s="7"/>
      <c r="M12" s="7">
        <v>129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5" customFormat="1" ht="12.75" customHeight="1">
      <c r="A13" s="4"/>
      <c r="B13" s="4"/>
      <c r="C13" s="4"/>
      <c r="D13" s="47"/>
      <c r="E13" s="4"/>
      <c r="F13" s="7"/>
      <c r="G13" s="57"/>
      <c r="H13" s="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5" customFormat="1" ht="11.25">
      <c r="A14" s="10" t="s">
        <v>12</v>
      </c>
      <c r="B14" s="10"/>
      <c r="C14" s="11"/>
      <c r="D14" s="12"/>
      <c r="E14" s="12"/>
      <c r="F14" s="13" t="s">
        <v>13</v>
      </c>
      <c r="G14" s="14">
        <v>9737000</v>
      </c>
      <c r="H14" s="43"/>
      <c r="I14" s="14">
        <v>10301000</v>
      </c>
      <c r="J14" s="43"/>
      <c r="K14" s="14">
        <v>11629000</v>
      </c>
      <c r="L14" s="43"/>
      <c r="M14" s="14">
        <v>15054000</v>
      </c>
      <c r="N14" s="18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5" customFormat="1" ht="11.25">
      <c r="A15" s="4" t="s">
        <v>14</v>
      </c>
      <c r="B15" s="4" t="s">
        <v>15</v>
      </c>
      <c r="C15" s="15"/>
      <c r="D15" s="18"/>
      <c r="E15" s="4"/>
      <c r="F15" s="16"/>
      <c r="G15" s="17">
        <f>IF(ISERROR(FIND("LOT ONLY",Model,1)),IF(SellingPrice&gt;3199200,(G14-(G14/1.12)),0),IF(SellingPrice&gt;1919500,(G14-(G14/1.12)),0))</f>
        <v>1043250</v>
      </c>
      <c r="H15" s="17"/>
      <c r="I15" s="17">
        <f>IF(ISERROR(FIND("LOT ONLY",Model,1)),IF(SellingPrice&gt;3199200,(I14-(I14/1.12)),0),IF(SellingPrice&gt;1919500,(I14-(I14/1.12)),0))</f>
        <v>1103678.5714285728</v>
      </c>
      <c r="J15" s="17"/>
      <c r="K15" s="17">
        <f>IF(ISERROR(FIND("LOT ONLY",Model,1)),IF(SellingPrice&gt;3199200,(K14-(K14/1.12)),0),IF(SellingPrice&gt;1919500,(K14-(K14/1.12)),0))</f>
        <v>1245964.2857142873</v>
      </c>
      <c r="L15" s="17"/>
      <c r="M15" s="17">
        <f>IF(ISERROR(FIND("LOT ONLY",Model,1)),IF(SellingPrice&gt;3199200,(M14-(M14/1.12)),0),IF(SellingPrice&gt;1919500,(M14-(M14/1.12)),0))</f>
        <v>1612928.5714285728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5" customFormat="1" ht="11.25">
      <c r="A16" s="6">
        <v>10</v>
      </c>
      <c r="B16" s="4" t="s">
        <v>109</v>
      </c>
      <c r="C16" s="4"/>
      <c r="D16" s="18"/>
      <c r="E16" s="4"/>
      <c r="F16" s="16"/>
      <c r="G16" s="18">
        <f>(G14-G15)*(PercentageDiscount/100)*(SpotDownpayment/100)</f>
        <v>86937.5</v>
      </c>
      <c r="H16" s="18"/>
      <c r="I16" s="18">
        <f>(I14-I15)*(PercentageDiscount/100)*(SpotDownpayment/100)</f>
        <v>91973.21428571428</v>
      </c>
      <c r="J16" s="18"/>
      <c r="K16" s="18">
        <f>(K14-K15)*(PercentageDiscount/100)*(SpotDownpayment/100)</f>
        <v>103830.35714285714</v>
      </c>
      <c r="L16" s="18"/>
      <c r="M16" s="18">
        <f>(M14-M15)*(PercentageDiscount/100)*(SpotDownpayment/100)</f>
        <v>134410.7142857143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5" customFormat="1" ht="11.25" hidden="1">
      <c r="A17" s="4"/>
      <c r="B17" s="4" t="s">
        <v>16</v>
      </c>
      <c r="C17" s="4"/>
      <c r="D17" s="4"/>
      <c r="E17" s="4"/>
      <c r="F17" s="4"/>
      <c r="G17" s="18"/>
      <c r="H17" s="18"/>
      <c r="I17" s="18"/>
      <c r="J17" s="18"/>
      <c r="K17" s="18"/>
      <c r="L17" s="18"/>
      <c r="M17" s="18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11.25" hidden="1">
      <c r="A18" s="4"/>
      <c r="B18" s="4" t="s">
        <v>17</v>
      </c>
      <c r="C18" s="4"/>
      <c r="D18" s="4"/>
      <c r="E18" s="4"/>
      <c r="F18" s="4"/>
      <c r="G18" s="18"/>
      <c r="H18" s="18"/>
      <c r="I18" s="18"/>
      <c r="J18" s="18"/>
      <c r="K18" s="18"/>
      <c r="L18" s="18"/>
      <c r="M18" s="1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1.25" hidden="1">
      <c r="A19" s="4"/>
      <c r="B19" s="4" t="s">
        <v>113</v>
      </c>
      <c r="C19" s="4"/>
      <c r="D19" s="4"/>
      <c r="E19" s="4"/>
      <c r="F19" s="4"/>
      <c r="G19" s="18"/>
      <c r="H19" s="18"/>
      <c r="I19" s="18"/>
      <c r="J19" s="18"/>
      <c r="K19" s="18"/>
      <c r="L19" s="18"/>
      <c r="M19" s="18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1.25" hidden="1">
      <c r="A20" s="4"/>
      <c r="B20" s="4" t="s">
        <v>20</v>
      </c>
      <c r="C20" s="4"/>
      <c r="D20" s="4"/>
      <c r="E20" s="4"/>
      <c r="F20" s="4"/>
      <c r="G20" s="18"/>
      <c r="H20" s="18"/>
      <c r="I20" s="18"/>
      <c r="J20" s="18"/>
      <c r="K20" s="18"/>
      <c r="L20" s="18"/>
      <c r="M20" s="18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1.25" hidden="1">
      <c r="A21" s="4"/>
      <c r="B21" s="59" t="s">
        <v>121</v>
      </c>
      <c r="C21" s="45"/>
      <c r="D21" s="45"/>
      <c r="E21" s="4"/>
      <c r="F21" s="4"/>
      <c r="G21" s="18"/>
      <c r="H21" s="18"/>
      <c r="I21" s="18"/>
      <c r="J21" s="18"/>
      <c r="K21" s="18"/>
      <c r="L21" s="18"/>
      <c r="M21" s="18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2" thickBot="1">
      <c r="A22" s="4"/>
      <c r="B22" s="55"/>
      <c r="C22" s="4"/>
      <c r="D22" s="4"/>
      <c r="E22" s="4"/>
      <c r="F22" s="4"/>
      <c r="G22" s="18"/>
      <c r="H22" s="18"/>
      <c r="I22" s="18"/>
      <c r="J22" s="18"/>
      <c r="K22" s="18"/>
      <c r="L22" s="18"/>
      <c r="M22" s="1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1.25" hidden="1">
      <c r="A23" s="4"/>
      <c r="B23" s="4" t="s">
        <v>21</v>
      </c>
      <c r="C23" s="4"/>
      <c r="D23" s="4"/>
      <c r="E23" s="4"/>
      <c r="F23" s="4"/>
      <c r="G23" s="18"/>
      <c r="H23" s="18"/>
      <c r="I23" s="18"/>
      <c r="J23" s="18"/>
      <c r="K23" s="18"/>
      <c r="L23" s="18"/>
      <c r="M23" s="1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1.25" hidden="1">
      <c r="A24" s="4"/>
      <c r="B24" s="4" t="s">
        <v>22</v>
      </c>
      <c r="C24" s="4"/>
      <c r="D24" s="4"/>
      <c r="E24" s="4"/>
      <c r="F24" s="4"/>
      <c r="G24" s="18"/>
      <c r="H24" s="18"/>
      <c r="I24" s="18"/>
      <c r="J24" s="18"/>
      <c r="K24" s="18"/>
      <c r="L24" s="18"/>
      <c r="M24" s="18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1.25" hidden="1">
      <c r="A25" s="4"/>
      <c r="B25" s="4" t="s">
        <v>99</v>
      </c>
      <c r="C25" s="4"/>
      <c r="D25" s="4"/>
      <c r="E25" s="4"/>
      <c r="F25" s="4"/>
      <c r="G25" s="18"/>
      <c r="H25" s="18"/>
      <c r="I25" s="18"/>
      <c r="J25" s="18"/>
      <c r="K25" s="18"/>
      <c r="L25" s="18"/>
      <c r="M25" s="1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1.25" hidden="1">
      <c r="A26" s="4"/>
      <c r="B26" s="4" t="s">
        <v>113</v>
      </c>
      <c r="C26" s="4"/>
      <c r="D26" s="4"/>
      <c r="E26" s="4"/>
      <c r="F26" s="4"/>
      <c r="G26" s="18"/>
      <c r="H26" s="18"/>
      <c r="I26" s="18"/>
      <c r="J26" s="18"/>
      <c r="K26" s="18"/>
      <c r="L26" s="18"/>
      <c r="M26" s="18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1.25" hidden="1">
      <c r="A27" s="4"/>
      <c r="B27" s="4" t="s">
        <v>25</v>
      </c>
      <c r="C27" s="4"/>
      <c r="D27" s="4"/>
      <c r="E27" s="4"/>
      <c r="F27" s="4"/>
      <c r="G27" s="18">
        <v>0</v>
      </c>
      <c r="H27" s="18"/>
      <c r="I27" s="18">
        <v>0</v>
      </c>
      <c r="J27" s="18"/>
      <c r="K27" s="18">
        <v>0</v>
      </c>
      <c r="L27" s="18"/>
      <c r="M27" s="18">
        <v>0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3.5" customHeight="1" hidden="1" thickBot="1">
      <c r="A28" s="4"/>
      <c r="B28" s="55"/>
      <c r="C28" s="55"/>
      <c r="D28" s="55"/>
      <c r="E28" s="4"/>
      <c r="F28" s="16"/>
      <c r="G28" s="19"/>
      <c r="H28" s="19"/>
      <c r="I28" s="19"/>
      <c r="J28" s="19"/>
      <c r="K28" s="19"/>
      <c r="L28" s="19"/>
      <c r="M28" s="19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3.5" customHeight="1" thickTop="1">
      <c r="A29" s="10" t="s">
        <v>26</v>
      </c>
      <c r="B29" s="20"/>
      <c r="C29" s="12"/>
      <c r="D29" s="12"/>
      <c r="E29" s="12"/>
      <c r="F29" s="13" t="s">
        <v>13</v>
      </c>
      <c r="G29" s="21">
        <f>(G14-G15)-SUM(G16:G27)</f>
        <v>8606812.5</v>
      </c>
      <c r="H29" s="19"/>
      <c r="I29" s="21">
        <f>(I14-I15)-SUM(I16:I27)</f>
        <v>9105348.214285713</v>
      </c>
      <c r="J29" s="19"/>
      <c r="K29" s="21">
        <f>(K14-K15)-SUM(K16:K27)</f>
        <v>10279205.357142856</v>
      </c>
      <c r="L29" s="19"/>
      <c r="M29" s="21">
        <f>(M14-M15)-SUM(M16:M27)</f>
        <v>13306660.714285713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1.25">
      <c r="A30" s="4" t="s">
        <v>27</v>
      </c>
      <c r="B30" s="4" t="s">
        <v>15</v>
      </c>
      <c r="C30" s="4"/>
      <c r="D30" s="4"/>
      <c r="E30" s="4"/>
      <c r="F30" s="4"/>
      <c r="G30" s="18">
        <f>G29*12%</f>
        <v>1032817.5</v>
      </c>
      <c r="H30" s="18"/>
      <c r="I30" s="18">
        <f>I29*12%</f>
        <v>1092641.7857142854</v>
      </c>
      <c r="J30" s="18"/>
      <c r="K30" s="18">
        <f>K29*12%</f>
        <v>1233504.6428571427</v>
      </c>
      <c r="L30" s="18"/>
      <c r="M30" s="18">
        <f>M29*12%</f>
        <v>1596799.2857142854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1.25" hidden="1">
      <c r="A31" s="6">
        <v>5</v>
      </c>
      <c r="B31" s="4" t="s">
        <v>28</v>
      </c>
      <c r="C31" s="4"/>
      <c r="D31" s="4"/>
      <c r="E31" s="4"/>
      <c r="F31" s="4"/>
      <c r="G31" s="18" t="e">
        <f>ROUND(G29*(#REF!/100),2)</f>
        <v>#REF!</v>
      </c>
      <c r="H31" s="18"/>
      <c r="I31" s="18" t="e">
        <f>ROUND(I29*(B31/100),2)</f>
        <v>#VALUE!</v>
      </c>
      <c r="J31" s="18"/>
      <c r="K31" s="18">
        <f>ROUND(K29*(C31/100),2)</f>
        <v>0</v>
      </c>
      <c r="L31" s="18"/>
      <c r="M31" s="18">
        <f>ROUND(M29*(D31/100),2)</f>
        <v>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1.25" hidden="1">
      <c r="A32" s="6"/>
      <c r="B32" s="4" t="s">
        <v>29</v>
      </c>
      <c r="C32" s="4"/>
      <c r="D32" s="4"/>
      <c r="E32" s="4"/>
      <c r="F32" s="6">
        <f>IF(G32&gt;50000,50000,G32)</f>
        <v>0</v>
      </c>
      <c r="G32" s="18">
        <v>0</v>
      </c>
      <c r="H32" s="18"/>
      <c r="I32" s="18">
        <v>0</v>
      </c>
      <c r="J32" s="18"/>
      <c r="K32" s="18">
        <v>0</v>
      </c>
      <c r="L32" s="18"/>
      <c r="M32" s="18">
        <v>0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1.25" hidden="1">
      <c r="A33" s="6"/>
      <c r="B33" s="4" t="s">
        <v>30</v>
      </c>
      <c r="C33" s="4"/>
      <c r="D33" s="4"/>
      <c r="E33" s="4"/>
      <c r="F33" s="4"/>
      <c r="G33" s="18">
        <v>0</v>
      </c>
      <c r="H33" s="18"/>
      <c r="I33" s="18">
        <v>0</v>
      </c>
      <c r="J33" s="18"/>
      <c r="K33" s="18">
        <v>0</v>
      </c>
      <c r="L33" s="18"/>
      <c r="M33" s="18">
        <v>0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3.5" customHeight="1" thickBot="1">
      <c r="A34" s="6"/>
      <c r="B34" s="4" t="s">
        <v>31</v>
      </c>
      <c r="C34" s="4"/>
      <c r="D34" s="4"/>
      <c r="E34" s="4"/>
      <c r="F34" s="4"/>
      <c r="G34" s="18">
        <f>G29*7%</f>
        <v>602476.875</v>
      </c>
      <c r="H34" s="18"/>
      <c r="I34" s="18">
        <f>I29*7%</f>
        <v>637374.375</v>
      </c>
      <c r="J34" s="18"/>
      <c r="K34" s="18">
        <f>K29*7%</f>
        <v>719544.375</v>
      </c>
      <c r="L34" s="18"/>
      <c r="M34" s="18">
        <f>M29*7%</f>
        <v>931466.25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3.5" customHeight="1" thickTop="1">
      <c r="A35" s="10" t="s">
        <v>32</v>
      </c>
      <c r="B35" s="12"/>
      <c r="C35" s="12"/>
      <c r="D35" s="12"/>
      <c r="E35" s="12"/>
      <c r="F35" s="13" t="s">
        <v>13</v>
      </c>
      <c r="G35" s="21">
        <f>G29+SUM(G30,G34)</f>
        <v>10242106.875</v>
      </c>
      <c r="H35" s="19"/>
      <c r="I35" s="21">
        <f>I29+SUM(I30,I34)</f>
        <v>10835364.374999998</v>
      </c>
      <c r="J35" s="19"/>
      <c r="K35" s="21">
        <f>K29+SUM(K30,K34)</f>
        <v>12232254.375</v>
      </c>
      <c r="L35" s="19"/>
      <c r="M35" s="21">
        <f>M29+SUM(M30,M34)</f>
        <v>15834926.249999998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1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5" customFormat="1" ht="11.25">
      <c r="A37" s="3" t="s">
        <v>33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5" customFormat="1" ht="11.25">
      <c r="A38" s="22">
        <v>20</v>
      </c>
      <c r="B38" s="4" t="str">
        <f>CONCATENATE("Downpayment ("&amp;A38&amp;"% of Selling Price)")</f>
        <v>Downpayment (20% of Selling Price)</v>
      </c>
      <c r="C38" s="4"/>
      <c r="D38" s="4"/>
      <c r="E38" s="4"/>
      <c r="F38" s="4"/>
      <c r="G38" s="18">
        <f>ROUND((G29+G30)*(Downpayment/100),2)</f>
        <v>1927926</v>
      </c>
      <c r="H38" s="18"/>
      <c r="I38" s="18">
        <f>ROUND((I29+I30)*(Downpayment/100),2)</f>
        <v>2039598</v>
      </c>
      <c r="J38" s="18"/>
      <c r="K38" s="18">
        <f>ROUND((K29+K30)*(Downpayment/100),2)</f>
        <v>2302542</v>
      </c>
      <c r="L38" s="18"/>
      <c r="M38" s="18">
        <f>ROUND((M29+M30)*(Downpayment/100),2)</f>
        <v>2980692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5" customFormat="1" ht="13.5" customHeight="1" thickBot="1">
      <c r="A39" s="3"/>
      <c r="B39" s="4" t="s">
        <v>34</v>
      </c>
      <c r="C39" s="4"/>
      <c r="D39" s="4"/>
      <c r="E39" s="4"/>
      <c r="F39" s="4"/>
      <c r="G39" s="18">
        <f>ROUND(G34*(Downpayment/100),2)</f>
        <v>120495.38</v>
      </c>
      <c r="H39" s="18"/>
      <c r="I39" s="18">
        <f>ROUND(I34*(Downpayment/100),2)</f>
        <v>127474.88</v>
      </c>
      <c r="J39" s="18"/>
      <c r="K39" s="18">
        <f>ROUND(K34*(Downpayment/100),2)</f>
        <v>143908.88</v>
      </c>
      <c r="L39" s="18"/>
      <c r="M39" s="18">
        <f>ROUND(M34*(Downpayment/100),2)</f>
        <v>186293.25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5" customFormat="1" ht="13.5" customHeight="1" thickTop="1">
      <c r="A40" s="10" t="s">
        <v>35</v>
      </c>
      <c r="B40" s="12"/>
      <c r="C40" s="12"/>
      <c r="D40" s="12"/>
      <c r="E40" s="12"/>
      <c r="F40" s="13" t="s">
        <v>13</v>
      </c>
      <c r="G40" s="21">
        <f>SUM(G38:G39)</f>
        <v>2048421.38</v>
      </c>
      <c r="H40" s="19"/>
      <c r="I40" s="21">
        <f>SUM(I38:I39)</f>
        <v>2167072.88</v>
      </c>
      <c r="J40" s="19"/>
      <c r="K40" s="21">
        <f>SUM(K38:K39)</f>
        <v>2446450.88</v>
      </c>
      <c r="L40" s="19"/>
      <c r="M40" s="21">
        <f>SUM(M38:M39)</f>
        <v>3166985.25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5" customFormat="1" ht="13.5" customHeight="1" thickBot="1">
      <c r="A41" s="61" t="s">
        <v>14</v>
      </c>
      <c r="B41" s="61" t="s">
        <v>36</v>
      </c>
      <c r="C41" s="61"/>
      <c r="D41" s="75"/>
      <c r="E41" s="61"/>
      <c r="F41" s="63">
        <f>DATE(2014,5,28)</f>
        <v>41787</v>
      </c>
      <c r="G41" s="64">
        <v>50000</v>
      </c>
      <c r="H41" s="64"/>
      <c r="I41" s="64">
        <v>50000</v>
      </c>
      <c r="J41" s="64"/>
      <c r="K41" s="64">
        <v>50000</v>
      </c>
      <c r="L41" s="64"/>
      <c r="M41" s="64">
        <v>50000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5" customFormat="1" ht="13.5" customHeight="1" thickTop="1">
      <c r="A42" s="10" t="s">
        <v>37</v>
      </c>
      <c r="B42" s="12"/>
      <c r="C42" s="12"/>
      <c r="D42" s="12"/>
      <c r="E42" s="24"/>
      <c r="F42" s="13" t="s">
        <v>13</v>
      </c>
      <c r="G42" s="21">
        <f>G40-G41</f>
        <v>1998421.38</v>
      </c>
      <c r="H42" s="19"/>
      <c r="I42" s="21">
        <f>I40-I41</f>
        <v>2117072.88</v>
      </c>
      <c r="J42" s="19"/>
      <c r="K42" s="21">
        <f>K40-K41</f>
        <v>2396450.88</v>
      </c>
      <c r="L42" s="19"/>
      <c r="M42" s="21">
        <f>M40-M41</f>
        <v>3116985.25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5" customFormat="1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5" customFormat="1" ht="11.25" hidden="1">
      <c r="A44" s="6">
        <v>10</v>
      </c>
      <c r="B44" s="41" t="str">
        <f>CONCATENATE("Spot Downpayment ("&amp;A44&amp;"% of Selling Price)")</f>
        <v>Spot Downpayment (10% of Selling Price)</v>
      </c>
      <c r="C44" s="4"/>
      <c r="D44" s="4"/>
      <c r="E44" s="9"/>
      <c r="F44" s="23"/>
      <c r="G44" s="18">
        <f>ROUND((SUM(G29:G30)*(SpotDownpayment/100))-G41,2)</f>
        <v>913963</v>
      </c>
      <c r="H44" s="18"/>
      <c r="I44" s="18">
        <f>ROUND((SUM(I29:I30)*(SpotDownpayment/100))-I41,2)</f>
        <v>969799</v>
      </c>
      <c r="J44" s="18"/>
      <c r="K44" s="18">
        <f>ROUND((SUM(K29:K30)*(SpotDownpayment/100))-K41,2)</f>
        <v>1101271</v>
      </c>
      <c r="L44" s="18"/>
      <c r="M44" s="18">
        <f>ROUND((SUM(M29:M30)*(SpotDownpayment/100))-M41,2)</f>
        <v>1440346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5" customFormat="1" ht="13.5" customHeight="1" hidden="1" thickBot="1">
      <c r="A45" s="4"/>
      <c r="B45" s="4" t="s">
        <v>28</v>
      </c>
      <c r="C45" s="4"/>
      <c r="D45" s="4"/>
      <c r="E45" s="9"/>
      <c r="F45" s="23"/>
      <c r="G45" s="18">
        <f>ROUND(G34*(SpotDownpayment/100),2)</f>
        <v>60247.69</v>
      </c>
      <c r="H45" s="18"/>
      <c r="I45" s="18">
        <f>ROUND(I34*(SpotDownpayment/100),2)</f>
        <v>63737.44</v>
      </c>
      <c r="J45" s="18"/>
      <c r="K45" s="18">
        <f>ROUND(K34*(SpotDownpayment/100),2)</f>
        <v>71954.44</v>
      </c>
      <c r="L45" s="18"/>
      <c r="M45" s="18">
        <f>ROUND(M34*(SpotDownpayment/100),2)</f>
        <v>93146.63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5" customFormat="1" ht="13.5" customHeight="1">
      <c r="A46" s="61"/>
      <c r="B46" s="99" t="s">
        <v>103</v>
      </c>
      <c r="C46" s="94"/>
      <c r="D46" s="94"/>
      <c r="E46" s="94"/>
      <c r="F46" s="63">
        <f>ReservationDate+30</f>
        <v>41817</v>
      </c>
      <c r="G46" s="66">
        <f>ROUND(SUM(G44:G45),2)</f>
        <v>974210.69</v>
      </c>
      <c r="H46" s="66"/>
      <c r="I46" s="66">
        <f>ROUND(SUM(I44:I45),2)</f>
        <v>1033536.44</v>
      </c>
      <c r="J46" s="66"/>
      <c r="K46" s="66">
        <f>ROUND(SUM(K44:K45),2)</f>
        <v>1173225.44</v>
      </c>
      <c r="L46" s="66"/>
      <c r="M46" s="66">
        <f>ROUND(SUM(M44:M45),2)</f>
        <v>1533492.63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5" customFormat="1" ht="11.25">
      <c r="A47" s="4"/>
      <c r="B47" s="3"/>
      <c r="C47" s="4"/>
      <c r="D47" s="4"/>
      <c r="E47" s="9"/>
      <c r="F47" s="23"/>
      <c r="G47" s="26"/>
      <c r="H47" s="26"/>
      <c r="I47" s="26"/>
      <c r="J47" s="26"/>
      <c r="K47" s="26"/>
      <c r="L47" s="26"/>
      <c r="M47" s="2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5" customFormat="1" ht="11.25" hidden="1">
      <c r="A48" s="6">
        <f>A38-A44</f>
        <v>10</v>
      </c>
      <c r="B48" s="41" t="str">
        <f>CONCATENATE("Streched Downpayment ("&amp;A48&amp;"% of Selling Price)")</f>
        <v>Streched Downpayment (10% of Selling Price)</v>
      </c>
      <c r="C48" s="4"/>
      <c r="D48" s="4"/>
      <c r="E48" s="9"/>
      <c r="F48" s="23"/>
      <c r="G48" s="18">
        <f>ROUND(G38-G44-G41,2)</f>
        <v>963963</v>
      </c>
      <c r="H48" s="18"/>
      <c r="I48" s="18">
        <f>ROUND(I38-I44-I41,2)</f>
        <v>1019799</v>
      </c>
      <c r="J48" s="18"/>
      <c r="K48" s="18">
        <f>ROUND(K38-K44-K41,2)</f>
        <v>1151271</v>
      </c>
      <c r="L48" s="18"/>
      <c r="M48" s="18">
        <f>ROUND(M38-M44-M41,2)</f>
        <v>1490346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5" customFormat="1" ht="13.5" customHeight="1" hidden="1" thickBot="1">
      <c r="A49" s="4"/>
      <c r="B49" s="4" t="s">
        <v>28</v>
      </c>
      <c r="C49" s="4"/>
      <c r="D49" s="4"/>
      <c r="E49" s="9"/>
      <c r="F49" s="23"/>
      <c r="G49" s="18">
        <f>ROUND(G39-G45,2)</f>
        <v>60247.69</v>
      </c>
      <c r="H49" s="18"/>
      <c r="I49" s="18">
        <f>ROUND(I39-I45,2)</f>
        <v>63737.44</v>
      </c>
      <c r="J49" s="18"/>
      <c r="K49" s="18">
        <f>ROUND(K39-K45,2)</f>
        <v>71954.44</v>
      </c>
      <c r="L49" s="18"/>
      <c r="M49" s="18">
        <f>ROUND(M39-M45,2)</f>
        <v>93146.62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5" customFormat="1" ht="13.5" customHeight="1" hidden="1" thickTop="1">
      <c r="A50" s="4"/>
      <c r="B50" s="42" t="s">
        <v>93</v>
      </c>
      <c r="C50" s="4"/>
      <c r="D50" s="4"/>
      <c r="E50" s="9"/>
      <c r="F50" s="23"/>
      <c r="G50" s="25">
        <f>ROUND(SUM(G48:G49),2)</f>
        <v>1024210.69</v>
      </c>
      <c r="H50" s="44"/>
      <c r="I50" s="25">
        <f>ROUND(SUM(I48:I49),2)</f>
        <v>1083536.44</v>
      </c>
      <c r="J50" s="44"/>
      <c r="K50" s="25">
        <f>ROUND(SUM(K48:K49),2)</f>
        <v>1223225.44</v>
      </c>
      <c r="L50" s="44"/>
      <c r="M50" s="25">
        <f>ROUND(SUM(M48:M49),2)</f>
        <v>1583492.62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5" customFormat="1" ht="11.25" hidden="1">
      <c r="A51" s="4"/>
      <c r="B51" s="4"/>
      <c r="C51" s="4"/>
      <c r="D51" s="4"/>
      <c r="E51" s="9"/>
      <c r="F51" s="23"/>
      <c r="G51" s="26"/>
      <c r="H51" s="26"/>
      <c r="I51" s="26"/>
      <c r="J51" s="26"/>
      <c r="K51" s="26"/>
      <c r="L51" s="26"/>
      <c r="M51" s="2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5" customFormat="1" ht="21" customHeight="1">
      <c r="A52" s="95"/>
      <c r="B52" s="95"/>
      <c r="C52" s="95"/>
      <c r="D52" s="95"/>
      <c r="E52" s="27" t="s">
        <v>40</v>
      </c>
      <c r="F52" s="28" t="s">
        <v>28</v>
      </c>
      <c r="G52" s="90" t="s">
        <v>41</v>
      </c>
      <c r="H52" s="90"/>
      <c r="I52" s="90"/>
      <c r="J52" s="90"/>
      <c r="K52" s="90"/>
      <c r="L52" s="90"/>
      <c r="M52" s="90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5" customFormat="1" ht="14.25" customHeight="1">
      <c r="A53" s="93" t="s">
        <v>119</v>
      </c>
      <c r="B53" s="93"/>
      <c r="C53" s="93"/>
      <c r="D53" s="93"/>
      <c r="E53" s="67" t="e">
        <f>ROUND(G48/A52,2)</f>
        <v>#DIV/0!</v>
      </c>
      <c r="F53" s="68" t="e">
        <f>ROUND(G49/A52,2)</f>
        <v>#DIV/0!</v>
      </c>
      <c r="G53" s="64">
        <f>G50/18</f>
        <v>56900.593888888885</v>
      </c>
      <c r="H53" s="64"/>
      <c r="I53" s="64">
        <f>I46/18</f>
        <v>57418.69111111111</v>
      </c>
      <c r="J53" s="64"/>
      <c r="K53" s="64">
        <f>K46/18</f>
        <v>65179.19111111111</v>
      </c>
      <c r="L53" s="64"/>
      <c r="M53" s="64">
        <f>M50/18</f>
        <v>87971.81222222223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5" customFormat="1" ht="11.25" hidden="1">
      <c r="A54" s="76" t="s">
        <v>42</v>
      </c>
      <c r="B54" s="76"/>
      <c r="C54" s="76"/>
      <c r="D54" s="30" t="str">
        <f>IF($A$52&lt;VALUE(LEFT(A54,1))," ",DATE(YEAR(D53+30),MONTH(D53+30),DAY(D53)))</f>
        <v> </v>
      </c>
      <c r="E54" s="17" t="str">
        <f aca="true" t="shared" si="0" ref="E54:E61">IF($A$52&lt;VALUE(LEFT(A54,1))," ",IF($A$52=VALUE(LEFT(A54,1)),$G$48-($E$53*($A$52-1)),E53))</f>
        <v> </v>
      </c>
      <c r="F54" s="31" t="str">
        <f aca="true" t="shared" si="1" ref="F54:F61">IF($A$52&lt;VALUE(LEFT(A54,1))," ",IF($A$52=VALUE(LEFT(A54,1)),$G$49-($F$53*($A$52-1)),F53))</f>
        <v> </v>
      </c>
      <c r="G54" s="18" t="str">
        <f>IF($A$52&lt;VALUE(LEFT(A54,1))," ",SUM(E54:F54))</f>
        <v> </v>
      </c>
      <c r="H54" s="18"/>
      <c r="I54" s="18">
        <v>22180.06</v>
      </c>
      <c r="J54" s="18"/>
      <c r="K54" s="18">
        <v>24795.93</v>
      </c>
      <c r="L54" s="18"/>
      <c r="M54" s="18">
        <v>28358.83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5" customFormat="1" ht="11.25" hidden="1">
      <c r="A55" s="76" t="s">
        <v>43</v>
      </c>
      <c r="B55" s="76"/>
      <c r="C55" s="76"/>
      <c r="D55" s="30" t="str">
        <f>IF($A$52&lt;VALUE(LEFT(A55,1))," ",DATE(YEAR(D54+30),MONTH(D54+30),DAY(D54)))</f>
        <v> </v>
      </c>
      <c r="E55" s="17" t="str">
        <f t="shared" si="0"/>
        <v> </v>
      </c>
      <c r="F55" s="31" t="str">
        <f t="shared" si="1"/>
        <v> </v>
      </c>
      <c r="G55" s="18" t="str">
        <f aca="true" t="shared" si="2" ref="G55:G61">IF($A$52&lt;VALUE(LEFT(A55,1))," ",SUM(E55:F55))</f>
        <v> </v>
      </c>
      <c r="H55" s="18"/>
      <c r="I55" s="18">
        <v>22180.06</v>
      </c>
      <c r="J55" s="18"/>
      <c r="K55" s="18">
        <v>24795.93</v>
      </c>
      <c r="L55" s="18"/>
      <c r="M55" s="18">
        <v>28358.83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5" customFormat="1" ht="11.25" hidden="1">
      <c r="A56" s="76" t="s">
        <v>44</v>
      </c>
      <c r="B56" s="76"/>
      <c r="C56" s="76"/>
      <c r="D56" s="30" t="str">
        <f aca="true" t="shared" si="3" ref="D56:D61">IF($A$52&lt;VALUE(LEFT(A56,1))," ",DATE(YEAR(D55+30),MONTH(D55+30),DAY(D55)))</f>
        <v> </v>
      </c>
      <c r="E56" s="17" t="str">
        <f t="shared" si="0"/>
        <v> </v>
      </c>
      <c r="F56" s="31" t="str">
        <f t="shared" si="1"/>
        <v> </v>
      </c>
      <c r="G56" s="18" t="str">
        <f t="shared" si="2"/>
        <v> </v>
      </c>
      <c r="H56" s="18"/>
      <c r="I56" s="18">
        <v>22180.06</v>
      </c>
      <c r="J56" s="18"/>
      <c r="K56" s="18">
        <v>24795.93</v>
      </c>
      <c r="L56" s="18"/>
      <c r="M56" s="18">
        <v>28358.83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5" customFormat="1" ht="11.25" hidden="1">
      <c r="A57" s="76" t="s">
        <v>45</v>
      </c>
      <c r="B57" s="76"/>
      <c r="C57" s="76"/>
      <c r="D57" s="30" t="str">
        <f t="shared" si="3"/>
        <v> </v>
      </c>
      <c r="E57" s="17" t="str">
        <f t="shared" si="0"/>
        <v> </v>
      </c>
      <c r="F57" s="31" t="str">
        <f t="shared" si="1"/>
        <v> </v>
      </c>
      <c r="G57" s="18" t="str">
        <f t="shared" si="2"/>
        <v> </v>
      </c>
      <c r="H57" s="18"/>
      <c r="I57" s="18">
        <v>22180.06</v>
      </c>
      <c r="J57" s="18"/>
      <c r="K57" s="18">
        <v>24795.93</v>
      </c>
      <c r="L57" s="18"/>
      <c r="M57" s="18">
        <v>28358.83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5" customFormat="1" ht="11.25" customHeight="1" hidden="1">
      <c r="A58" s="76" t="s">
        <v>46</v>
      </c>
      <c r="B58" s="76"/>
      <c r="C58" s="76"/>
      <c r="D58" s="30" t="str">
        <f t="shared" si="3"/>
        <v> </v>
      </c>
      <c r="E58" s="17" t="str">
        <f t="shared" si="0"/>
        <v> </v>
      </c>
      <c r="F58" s="31" t="str">
        <f t="shared" si="1"/>
        <v> </v>
      </c>
      <c r="G58" s="18" t="str">
        <f t="shared" si="2"/>
        <v> </v>
      </c>
      <c r="H58" s="18"/>
      <c r="I58" s="18">
        <v>22180.06</v>
      </c>
      <c r="J58" s="18"/>
      <c r="K58" s="18">
        <v>24795.93</v>
      </c>
      <c r="L58" s="18"/>
      <c r="M58" s="18">
        <v>28358.83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5" customFormat="1" ht="11.25" hidden="1">
      <c r="A59" s="76" t="s">
        <v>47</v>
      </c>
      <c r="B59" s="76"/>
      <c r="C59" s="76"/>
      <c r="D59" s="30" t="str">
        <f t="shared" si="3"/>
        <v> </v>
      </c>
      <c r="E59" s="17" t="str">
        <f t="shared" si="0"/>
        <v> </v>
      </c>
      <c r="F59" s="31" t="str">
        <f t="shared" si="1"/>
        <v> </v>
      </c>
      <c r="G59" s="18" t="str">
        <f t="shared" si="2"/>
        <v> </v>
      </c>
      <c r="H59" s="18"/>
      <c r="I59" s="18">
        <v>22180.06</v>
      </c>
      <c r="J59" s="18"/>
      <c r="K59" s="18">
        <v>24795.93</v>
      </c>
      <c r="L59" s="18"/>
      <c r="M59" s="18">
        <v>28358.83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5" customFormat="1" ht="11.25" hidden="1">
      <c r="A60" s="76" t="s">
        <v>48</v>
      </c>
      <c r="B60" s="76"/>
      <c r="C60" s="76"/>
      <c r="D60" s="30" t="str">
        <f t="shared" si="3"/>
        <v> </v>
      </c>
      <c r="E60" s="17" t="str">
        <f t="shared" si="0"/>
        <v> </v>
      </c>
      <c r="F60" s="31" t="str">
        <f t="shared" si="1"/>
        <v> </v>
      </c>
      <c r="G60" s="18" t="str">
        <f t="shared" si="2"/>
        <v> </v>
      </c>
      <c r="H60" s="18"/>
      <c r="I60" s="18">
        <v>22180.06</v>
      </c>
      <c r="J60" s="18"/>
      <c r="K60" s="18">
        <v>24795.93</v>
      </c>
      <c r="L60" s="18"/>
      <c r="M60" s="18">
        <v>28358.83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5" customFormat="1" ht="11.25" hidden="1">
      <c r="A61" s="76" t="s">
        <v>49</v>
      </c>
      <c r="B61" s="76"/>
      <c r="C61" s="76"/>
      <c r="D61" s="30" t="str">
        <f t="shared" si="3"/>
        <v> </v>
      </c>
      <c r="E61" s="17" t="str">
        <f t="shared" si="0"/>
        <v> </v>
      </c>
      <c r="F61" s="31" t="str">
        <f t="shared" si="1"/>
        <v> </v>
      </c>
      <c r="G61" s="18" t="str">
        <f t="shared" si="2"/>
        <v> </v>
      </c>
      <c r="H61" s="18"/>
      <c r="I61" s="18">
        <v>22180.06</v>
      </c>
      <c r="J61" s="18"/>
      <c r="K61" s="18">
        <v>24795.93</v>
      </c>
      <c r="L61" s="18"/>
      <c r="M61" s="18">
        <v>28358.83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5" customFormat="1" ht="11.25" hidden="1">
      <c r="A62" s="76" t="s">
        <v>50</v>
      </c>
      <c r="B62" s="76"/>
      <c r="C62" s="76"/>
      <c r="D62" s="30" t="str">
        <f>IF($A$52&lt;VALUE(LEFT(A62,2))," ",DATE(YEAR(D61+30),MONTH(D61+30),DAY(D61)))</f>
        <v> </v>
      </c>
      <c r="E62" s="17" t="str">
        <f aca="true" t="shared" si="4" ref="E62:E88">IF($A$52&lt;VALUE(LEFT(A62,2))," ",IF($A$52=VALUE(LEFT(A62,2)),$G$48-($E$53*($A$52-1)),E61))</f>
        <v> </v>
      </c>
      <c r="F62" s="31" t="str">
        <f aca="true" t="shared" si="5" ref="F62:F88">IF($A$52&lt;VALUE(LEFT(A62,2))," ",IF($A$52=VALUE(LEFT(A62,2)),$G$49-($F$53*($A$52-1)),F61))</f>
        <v> </v>
      </c>
      <c r="G62" s="18" t="str">
        <f>IF($A$52&lt;VALUE(LEFT(A62,2))," ",SUM(E62:F62))</f>
        <v> </v>
      </c>
      <c r="H62" s="18"/>
      <c r="I62" s="18">
        <v>22180.06</v>
      </c>
      <c r="J62" s="18"/>
      <c r="K62" s="18">
        <v>24795.93</v>
      </c>
      <c r="L62" s="18"/>
      <c r="M62" s="18">
        <v>28358.83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5" customFormat="1" ht="11.25" hidden="1">
      <c r="A63" s="76" t="s">
        <v>51</v>
      </c>
      <c r="B63" s="76"/>
      <c r="C63" s="76"/>
      <c r="D63" s="30" t="str">
        <f aca="true" t="shared" si="6" ref="D63:D88">IF($A$52&lt;VALUE(LEFT(A63,2))," ",DATE(YEAR(D62+30),MONTH(D62+30),DAY(D62)))</f>
        <v> </v>
      </c>
      <c r="E63" s="17" t="str">
        <f t="shared" si="4"/>
        <v> </v>
      </c>
      <c r="F63" s="31" t="str">
        <f t="shared" si="5"/>
        <v> </v>
      </c>
      <c r="G63" s="18" t="str">
        <f aca="true" t="shared" si="7" ref="G63:G88">IF($A$52&lt;VALUE(LEFT(A63,2))," ",SUM(E63:F63))</f>
        <v> </v>
      </c>
      <c r="H63" s="18"/>
      <c r="I63" s="18">
        <v>22180.06</v>
      </c>
      <c r="J63" s="18"/>
      <c r="K63" s="18">
        <v>24795.93</v>
      </c>
      <c r="L63" s="18"/>
      <c r="M63" s="18">
        <v>28358.83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5" customFormat="1" ht="11.25" hidden="1">
      <c r="A64" s="76" t="s">
        <v>52</v>
      </c>
      <c r="B64" s="76"/>
      <c r="C64" s="76"/>
      <c r="D64" s="30" t="str">
        <f t="shared" si="6"/>
        <v> </v>
      </c>
      <c r="E64" s="17" t="str">
        <f t="shared" si="4"/>
        <v> </v>
      </c>
      <c r="F64" s="31" t="str">
        <f t="shared" si="5"/>
        <v> </v>
      </c>
      <c r="G64" s="18" t="str">
        <f t="shared" si="7"/>
        <v> </v>
      </c>
      <c r="H64" s="18"/>
      <c r="I64" s="18">
        <v>22180.06</v>
      </c>
      <c r="J64" s="18"/>
      <c r="K64" s="18">
        <v>24795.93</v>
      </c>
      <c r="L64" s="18"/>
      <c r="M64" s="18">
        <v>28358.83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5" customFormat="1" ht="11.25" hidden="1">
      <c r="A65" s="76" t="s">
        <v>53</v>
      </c>
      <c r="B65" s="76"/>
      <c r="C65" s="76"/>
      <c r="D65" s="30" t="str">
        <f t="shared" si="6"/>
        <v> </v>
      </c>
      <c r="E65" s="17" t="str">
        <f t="shared" si="4"/>
        <v> </v>
      </c>
      <c r="F65" s="31" t="str">
        <f t="shared" si="5"/>
        <v> </v>
      </c>
      <c r="G65" s="18" t="str">
        <f t="shared" si="7"/>
        <v> </v>
      </c>
      <c r="H65" s="18"/>
      <c r="I65" s="18">
        <v>22180.06</v>
      </c>
      <c r="J65" s="18"/>
      <c r="K65" s="18">
        <v>24795.93</v>
      </c>
      <c r="L65" s="18"/>
      <c r="M65" s="18">
        <v>28358.83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5" customFormat="1" ht="11.25" hidden="1">
      <c r="A66" s="76" t="s">
        <v>54</v>
      </c>
      <c r="B66" s="76"/>
      <c r="C66" s="76"/>
      <c r="D66" s="30" t="str">
        <f t="shared" si="6"/>
        <v> </v>
      </c>
      <c r="E66" s="17" t="str">
        <f t="shared" si="4"/>
        <v> </v>
      </c>
      <c r="F66" s="31" t="str">
        <f t="shared" si="5"/>
        <v> </v>
      </c>
      <c r="G66" s="18" t="str">
        <f t="shared" si="7"/>
        <v> </v>
      </c>
      <c r="H66" s="18"/>
      <c r="I66" s="18">
        <v>22180.06</v>
      </c>
      <c r="J66" s="18"/>
      <c r="K66" s="18">
        <v>24795.93</v>
      </c>
      <c r="L66" s="18"/>
      <c r="M66" s="18">
        <v>28358.83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5" customFormat="1" ht="11.25" hidden="1">
      <c r="A67" s="76" t="s">
        <v>55</v>
      </c>
      <c r="B67" s="76"/>
      <c r="C67" s="76"/>
      <c r="D67" s="30" t="str">
        <f t="shared" si="6"/>
        <v> </v>
      </c>
      <c r="E67" s="17" t="str">
        <f t="shared" si="4"/>
        <v> </v>
      </c>
      <c r="F67" s="31" t="str">
        <f t="shared" si="5"/>
        <v> </v>
      </c>
      <c r="G67" s="18" t="str">
        <f t="shared" si="7"/>
        <v> </v>
      </c>
      <c r="H67" s="18"/>
      <c r="I67" s="18">
        <v>22180.06</v>
      </c>
      <c r="J67" s="18"/>
      <c r="K67" s="18">
        <v>24795.93</v>
      </c>
      <c r="L67" s="18"/>
      <c r="M67" s="18">
        <v>28358.83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5" customFormat="1" ht="11.25" hidden="1">
      <c r="A68" s="76" t="s">
        <v>56</v>
      </c>
      <c r="B68" s="76"/>
      <c r="C68" s="76"/>
      <c r="D68" s="30" t="str">
        <f t="shared" si="6"/>
        <v> </v>
      </c>
      <c r="E68" s="17" t="str">
        <f t="shared" si="4"/>
        <v> </v>
      </c>
      <c r="F68" s="31" t="str">
        <f t="shared" si="5"/>
        <v> </v>
      </c>
      <c r="G68" s="18" t="str">
        <f t="shared" si="7"/>
        <v> </v>
      </c>
      <c r="H68" s="18"/>
      <c r="I68" s="18">
        <v>22180.06</v>
      </c>
      <c r="J68" s="18"/>
      <c r="K68" s="18">
        <v>24795.93</v>
      </c>
      <c r="L68" s="18"/>
      <c r="M68" s="18">
        <v>28358.83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5" customFormat="1" ht="11.25" hidden="1">
      <c r="A69" s="76" t="s">
        <v>57</v>
      </c>
      <c r="B69" s="76"/>
      <c r="C69" s="76"/>
      <c r="D69" s="30" t="str">
        <f t="shared" si="6"/>
        <v> </v>
      </c>
      <c r="E69" s="17" t="str">
        <f t="shared" si="4"/>
        <v> </v>
      </c>
      <c r="F69" s="31" t="str">
        <f t="shared" si="5"/>
        <v> </v>
      </c>
      <c r="G69" s="18" t="str">
        <f t="shared" si="7"/>
        <v> </v>
      </c>
      <c r="H69" s="18"/>
      <c r="I69" s="18">
        <v>22180.06</v>
      </c>
      <c r="J69" s="18"/>
      <c r="K69" s="18">
        <v>24795.93</v>
      </c>
      <c r="L69" s="18"/>
      <c r="M69" s="18">
        <v>28358.83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5" customFormat="1" ht="11.25" hidden="1">
      <c r="A70" s="76" t="s">
        <v>58</v>
      </c>
      <c r="B70" s="76"/>
      <c r="C70" s="76"/>
      <c r="D70" s="30" t="str">
        <f t="shared" si="6"/>
        <v> </v>
      </c>
      <c r="E70" s="17" t="str">
        <f t="shared" si="4"/>
        <v> </v>
      </c>
      <c r="F70" s="31" t="str">
        <f t="shared" si="5"/>
        <v> </v>
      </c>
      <c r="G70" s="18" t="str">
        <f t="shared" si="7"/>
        <v> </v>
      </c>
      <c r="H70" s="18"/>
      <c r="I70" s="18">
        <v>22180.07</v>
      </c>
      <c r="J70" s="18"/>
      <c r="K70" s="18">
        <v>24795.99</v>
      </c>
      <c r="L70" s="18"/>
      <c r="M70" s="18">
        <v>28358.87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5" customFormat="1" ht="11.25" hidden="1">
      <c r="A71" s="76" t="s">
        <v>59</v>
      </c>
      <c r="B71" s="76"/>
      <c r="C71" s="76"/>
      <c r="D71" s="30" t="str">
        <f t="shared" si="6"/>
        <v> </v>
      </c>
      <c r="E71" s="17" t="str">
        <f t="shared" si="4"/>
        <v> </v>
      </c>
      <c r="F71" s="31" t="str">
        <f t="shared" si="5"/>
        <v> </v>
      </c>
      <c r="G71" s="18" t="str">
        <f t="shared" si="7"/>
        <v> </v>
      </c>
      <c r="H71" s="18"/>
      <c r="I71" s="18"/>
      <c r="J71" s="18"/>
      <c r="K71" s="18"/>
      <c r="L71" s="18"/>
      <c r="M71" s="18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5" customFormat="1" ht="11.25" hidden="1">
      <c r="A72" s="76" t="s">
        <v>60</v>
      </c>
      <c r="B72" s="76"/>
      <c r="C72" s="76"/>
      <c r="D72" s="30" t="str">
        <f t="shared" si="6"/>
        <v> </v>
      </c>
      <c r="E72" s="17" t="str">
        <f t="shared" si="4"/>
        <v> </v>
      </c>
      <c r="F72" s="31" t="str">
        <f t="shared" si="5"/>
        <v> </v>
      </c>
      <c r="G72" s="18" t="str">
        <f t="shared" si="7"/>
        <v> </v>
      </c>
      <c r="H72" s="18"/>
      <c r="I72" s="18"/>
      <c r="J72" s="18"/>
      <c r="K72" s="18"/>
      <c r="L72" s="18"/>
      <c r="M72" s="18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5" customFormat="1" ht="11.25" hidden="1">
      <c r="A73" s="76" t="s">
        <v>61</v>
      </c>
      <c r="B73" s="76"/>
      <c r="C73" s="76"/>
      <c r="D73" s="30" t="str">
        <f t="shared" si="6"/>
        <v> </v>
      </c>
      <c r="E73" s="17" t="str">
        <f t="shared" si="4"/>
        <v> </v>
      </c>
      <c r="F73" s="31" t="str">
        <f t="shared" si="5"/>
        <v> </v>
      </c>
      <c r="G73" s="18" t="str">
        <f t="shared" si="7"/>
        <v> </v>
      </c>
      <c r="H73" s="18"/>
      <c r="I73" s="18"/>
      <c r="J73" s="18"/>
      <c r="K73" s="18"/>
      <c r="L73" s="18"/>
      <c r="M73" s="18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5" customFormat="1" ht="11.25" hidden="1">
      <c r="A74" s="76" t="s">
        <v>62</v>
      </c>
      <c r="B74" s="76"/>
      <c r="C74" s="76"/>
      <c r="D74" s="30" t="str">
        <f t="shared" si="6"/>
        <v> </v>
      </c>
      <c r="E74" s="17" t="str">
        <f t="shared" si="4"/>
        <v> </v>
      </c>
      <c r="F74" s="31" t="str">
        <f t="shared" si="5"/>
        <v> </v>
      </c>
      <c r="G74" s="18" t="str">
        <f t="shared" si="7"/>
        <v> </v>
      </c>
      <c r="H74" s="18"/>
      <c r="I74" s="18"/>
      <c r="J74" s="18"/>
      <c r="K74" s="18"/>
      <c r="L74" s="18"/>
      <c r="M74" s="18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5" customFormat="1" ht="11.25" hidden="1">
      <c r="A75" s="76" t="s">
        <v>63</v>
      </c>
      <c r="B75" s="76"/>
      <c r="C75" s="76"/>
      <c r="D75" s="30" t="str">
        <f t="shared" si="6"/>
        <v> </v>
      </c>
      <c r="E75" s="17" t="str">
        <f t="shared" si="4"/>
        <v> </v>
      </c>
      <c r="F75" s="31" t="str">
        <f t="shared" si="5"/>
        <v> </v>
      </c>
      <c r="G75" s="18" t="str">
        <f t="shared" si="7"/>
        <v> </v>
      </c>
      <c r="H75" s="18"/>
      <c r="I75" s="18"/>
      <c r="J75" s="18"/>
      <c r="K75" s="18"/>
      <c r="L75" s="18"/>
      <c r="M75" s="18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5" customFormat="1" ht="11.25" hidden="1">
      <c r="A76" s="76" t="s">
        <v>64</v>
      </c>
      <c r="B76" s="76"/>
      <c r="C76" s="76"/>
      <c r="D76" s="30" t="str">
        <f t="shared" si="6"/>
        <v> </v>
      </c>
      <c r="E76" s="17" t="str">
        <f t="shared" si="4"/>
        <v> </v>
      </c>
      <c r="F76" s="31" t="str">
        <f t="shared" si="5"/>
        <v> </v>
      </c>
      <c r="G76" s="18" t="str">
        <f t="shared" si="7"/>
        <v> </v>
      </c>
      <c r="H76" s="18"/>
      <c r="I76" s="18"/>
      <c r="J76" s="18"/>
      <c r="K76" s="18"/>
      <c r="L76" s="18"/>
      <c r="M76" s="18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5" customFormat="1" ht="11.25" hidden="1">
      <c r="A77" s="76" t="s">
        <v>65</v>
      </c>
      <c r="B77" s="76"/>
      <c r="C77" s="76"/>
      <c r="D77" s="30" t="str">
        <f t="shared" si="6"/>
        <v> </v>
      </c>
      <c r="E77" s="17" t="str">
        <f t="shared" si="4"/>
        <v> </v>
      </c>
      <c r="F77" s="31" t="str">
        <f t="shared" si="5"/>
        <v> </v>
      </c>
      <c r="G77" s="18" t="str">
        <f t="shared" si="7"/>
        <v> </v>
      </c>
      <c r="H77" s="18"/>
      <c r="I77" s="18" t="e">
        <f aca="true" t="shared" si="8" ref="I77:I88">IF($A$52&lt;VALUE(LEFT(B77,2))," ",SUM(F77:G77))</f>
        <v>#VALUE!</v>
      </c>
      <c r="J77" s="18"/>
      <c r="K77" s="18" t="e">
        <f aca="true" t="shared" si="9" ref="K77:K88">IF($A$52&lt;VALUE(LEFT(C77,2))," ",SUM(G77:I77))</f>
        <v>#VALUE!</v>
      </c>
      <c r="L77" s="18"/>
      <c r="M77" s="18" t="e">
        <f aca="true" t="shared" si="10" ref="M77:M88">IF($A$52&lt;VALUE(LEFT(D77,2))," ",SUM(I77:K77))</f>
        <v>#VALUE!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5" customFormat="1" ht="11.25" hidden="1">
      <c r="A78" s="76" t="s">
        <v>66</v>
      </c>
      <c r="B78" s="76"/>
      <c r="C78" s="76"/>
      <c r="D78" s="30" t="str">
        <f t="shared" si="6"/>
        <v> </v>
      </c>
      <c r="E78" s="17" t="str">
        <f t="shared" si="4"/>
        <v> </v>
      </c>
      <c r="F78" s="31" t="str">
        <f t="shared" si="5"/>
        <v> </v>
      </c>
      <c r="G78" s="18" t="str">
        <f t="shared" si="7"/>
        <v> </v>
      </c>
      <c r="H78" s="18"/>
      <c r="I78" s="18" t="e">
        <f t="shared" si="8"/>
        <v>#VALUE!</v>
      </c>
      <c r="J78" s="18"/>
      <c r="K78" s="18" t="e">
        <f t="shared" si="9"/>
        <v>#VALUE!</v>
      </c>
      <c r="L78" s="18"/>
      <c r="M78" s="18" t="e">
        <f t="shared" si="10"/>
        <v>#VALUE!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5" customFormat="1" ht="11.25" hidden="1">
      <c r="A79" s="76" t="s">
        <v>67</v>
      </c>
      <c r="B79" s="76"/>
      <c r="C79" s="76"/>
      <c r="D79" s="30" t="str">
        <f t="shared" si="6"/>
        <v> </v>
      </c>
      <c r="E79" s="17" t="str">
        <f t="shared" si="4"/>
        <v> </v>
      </c>
      <c r="F79" s="31" t="str">
        <f t="shared" si="5"/>
        <v> </v>
      </c>
      <c r="G79" s="18" t="str">
        <f t="shared" si="7"/>
        <v> </v>
      </c>
      <c r="H79" s="18"/>
      <c r="I79" s="18" t="e">
        <f t="shared" si="8"/>
        <v>#VALUE!</v>
      </c>
      <c r="J79" s="18"/>
      <c r="K79" s="18" t="e">
        <f t="shared" si="9"/>
        <v>#VALUE!</v>
      </c>
      <c r="L79" s="18"/>
      <c r="M79" s="18" t="e">
        <f t="shared" si="10"/>
        <v>#VALUE!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5" customFormat="1" ht="11.25" hidden="1">
      <c r="A80" s="76" t="s">
        <v>68</v>
      </c>
      <c r="B80" s="76"/>
      <c r="C80" s="76"/>
      <c r="D80" s="30" t="str">
        <f t="shared" si="6"/>
        <v> </v>
      </c>
      <c r="E80" s="17" t="str">
        <f t="shared" si="4"/>
        <v> </v>
      </c>
      <c r="F80" s="31" t="str">
        <f t="shared" si="5"/>
        <v> </v>
      </c>
      <c r="G80" s="18" t="str">
        <f t="shared" si="7"/>
        <v> </v>
      </c>
      <c r="H80" s="18"/>
      <c r="I80" s="18" t="e">
        <f t="shared" si="8"/>
        <v>#VALUE!</v>
      </c>
      <c r="J80" s="18"/>
      <c r="K80" s="18" t="e">
        <f t="shared" si="9"/>
        <v>#VALUE!</v>
      </c>
      <c r="L80" s="18"/>
      <c r="M80" s="18" t="e">
        <f t="shared" si="10"/>
        <v>#VALUE!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5" customFormat="1" ht="11.25" hidden="1">
      <c r="A81" s="76" t="s">
        <v>69</v>
      </c>
      <c r="B81" s="76"/>
      <c r="C81" s="76"/>
      <c r="D81" s="30" t="str">
        <f t="shared" si="6"/>
        <v> </v>
      </c>
      <c r="E81" s="17" t="str">
        <f t="shared" si="4"/>
        <v> </v>
      </c>
      <c r="F81" s="31" t="str">
        <f t="shared" si="5"/>
        <v> </v>
      </c>
      <c r="G81" s="18" t="str">
        <f t="shared" si="7"/>
        <v> </v>
      </c>
      <c r="H81" s="18"/>
      <c r="I81" s="18" t="e">
        <f t="shared" si="8"/>
        <v>#VALUE!</v>
      </c>
      <c r="J81" s="18"/>
      <c r="K81" s="18" t="e">
        <f t="shared" si="9"/>
        <v>#VALUE!</v>
      </c>
      <c r="L81" s="18"/>
      <c r="M81" s="18" t="e">
        <f t="shared" si="10"/>
        <v>#VALUE!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5" customFormat="1" ht="11.25" hidden="1">
      <c r="A82" s="76" t="s">
        <v>70</v>
      </c>
      <c r="B82" s="76"/>
      <c r="C82" s="76"/>
      <c r="D82" s="30" t="str">
        <f t="shared" si="6"/>
        <v> </v>
      </c>
      <c r="E82" s="17" t="str">
        <f t="shared" si="4"/>
        <v> </v>
      </c>
      <c r="F82" s="31" t="str">
        <f t="shared" si="5"/>
        <v> </v>
      </c>
      <c r="G82" s="18" t="str">
        <f t="shared" si="7"/>
        <v> </v>
      </c>
      <c r="H82" s="18"/>
      <c r="I82" s="18" t="e">
        <f t="shared" si="8"/>
        <v>#VALUE!</v>
      </c>
      <c r="J82" s="18"/>
      <c r="K82" s="18" t="e">
        <f t="shared" si="9"/>
        <v>#VALUE!</v>
      </c>
      <c r="L82" s="18"/>
      <c r="M82" s="18" t="e">
        <f t="shared" si="10"/>
        <v>#VALUE!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5" customFormat="1" ht="11.25" hidden="1">
      <c r="A83" s="76" t="s">
        <v>71</v>
      </c>
      <c r="B83" s="76"/>
      <c r="C83" s="76"/>
      <c r="D83" s="30" t="str">
        <f t="shared" si="6"/>
        <v> </v>
      </c>
      <c r="E83" s="17" t="str">
        <f t="shared" si="4"/>
        <v> </v>
      </c>
      <c r="F83" s="31" t="str">
        <f t="shared" si="5"/>
        <v> </v>
      </c>
      <c r="G83" s="18" t="str">
        <f t="shared" si="7"/>
        <v> </v>
      </c>
      <c r="H83" s="18"/>
      <c r="I83" s="18" t="e">
        <f t="shared" si="8"/>
        <v>#VALUE!</v>
      </c>
      <c r="J83" s="18"/>
      <c r="K83" s="18" t="e">
        <f t="shared" si="9"/>
        <v>#VALUE!</v>
      </c>
      <c r="L83" s="18"/>
      <c r="M83" s="18" t="e">
        <f t="shared" si="10"/>
        <v>#VALUE!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5" customFormat="1" ht="11.25" hidden="1">
      <c r="A84" s="76" t="s">
        <v>72</v>
      </c>
      <c r="B84" s="76"/>
      <c r="C84" s="76"/>
      <c r="D84" s="30" t="str">
        <f t="shared" si="6"/>
        <v> </v>
      </c>
      <c r="E84" s="17" t="str">
        <f t="shared" si="4"/>
        <v> </v>
      </c>
      <c r="F84" s="31" t="str">
        <f t="shared" si="5"/>
        <v> </v>
      </c>
      <c r="G84" s="18" t="str">
        <f t="shared" si="7"/>
        <v> </v>
      </c>
      <c r="H84" s="18"/>
      <c r="I84" s="18" t="e">
        <f t="shared" si="8"/>
        <v>#VALUE!</v>
      </c>
      <c r="J84" s="18"/>
      <c r="K84" s="18" t="e">
        <f t="shared" si="9"/>
        <v>#VALUE!</v>
      </c>
      <c r="L84" s="18"/>
      <c r="M84" s="18" t="e">
        <f t="shared" si="10"/>
        <v>#VALUE!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5" customFormat="1" ht="11.25" hidden="1">
      <c r="A85" s="76" t="s">
        <v>73</v>
      </c>
      <c r="B85" s="76"/>
      <c r="C85" s="76"/>
      <c r="D85" s="30" t="str">
        <f t="shared" si="6"/>
        <v> </v>
      </c>
      <c r="E85" s="17" t="str">
        <f t="shared" si="4"/>
        <v> </v>
      </c>
      <c r="F85" s="31" t="str">
        <f t="shared" si="5"/>
        <v> </v>
      </c>
      <c r="G85" s="18" t="str">
        <f t="shared" si="7"/>
        <v> </v>
      </c>
      <c r="H85" s="18"/>
      <c r="I85" s="18" t="e">
        <f t="shared" si="8"/>
        <v>#VALUE!</v>
      </c>
      <c r="J85" s="18"/>
      <c r="K85" s="18" t="e">
        <f t="shared" si="9"/>
        <v>#VALUE!</v>
      </c>
      <c r="L85" s="18"/>
      <c r="M85" s="18" t="e">
        <f t="shared" si="10"/>
        <v>#VALUE!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5" customFormat="1" ht="11.25" hidden="1">
      <c r="A86" s="76" t="s">
        <v>74</v>
      </c>
      <c r="B86" s="76"/>
      <c r="C86" s="76"/>
      <c r="D86" s="30" t="str">
        <f t="shared" si="6"/>
        <v> </v>
      </c>
      <c r="E86" s="17" t="str">
        <f t="shared" si="4"/>
        <v> </v>
      </c>
      <c r="F86" s="31" t="str">
        <f t="shared" si="5"/>
        <v> </v>
      </c>
      <c r="G86" s="18" t="str">
        <f t="shared" si="7"/>
        <v> </v>
      </c>
      <c r="H86" s="18"/>
      <c r="I86" s="18" t="e">
        <f t="shared" si="8"/>
        <v>#VALUE!</v>
      </c>
      <c r="J86" s="18"/>
      <c r="K86" s="18" t="e">
        <f t="shared" si="9"/>
        <v>#VALUE!</v>
      </c>
      <c r="L86" s="18"/>
      <c r="M86" s="18" t="e">
        <f t="shared" si="10"/>
        <v>#VALUE!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s="5" customFormat="1" ht="11.25" hidden="1">
      <c r="A87" s="76" t="s">
        <v>75</v>
      </c>
      <c r="B87" s="76"/>
      <c r="C87" s="76"/>
      <c r="D87" s="30" t="str">
        <f t="shared" si="6"/>
        <v> </v>
      </c>
      <c r="E87" s="17" t="str">
        <f t="shared" si="4"/>
        <v> </v>
      </c>
      <c r="F87" s="31" t="str">
        <f t="shared" si="5"/>
        <v> </v>
      </c>
      <c r="G87" s="18" t="str">
        <f t="shared" si="7"/>
        <v> </v>
      </c>
      <c r="H87" s="18"/>
      <c r="I87" s="18" t="e">
        <f t="shared" si="8"/>
        <v>#VALUE!</v>
      </c>
      <c r="J87" s="18"/>
      <c r="K87" s="18" t="e">
        <f t="shared" si="9"/>
        <v>#VALUE!</v>
      </c>
      <c r="L87" s="18"/>
      <c r="M87" s="18" t="e">
        <f t="shared" si="10"/>
        <v>#VALUE!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s="5" customFormat="1" ht="11.25" hidden="1">
      <c r="A88" s="76" t="s">
        <v>76</v>
      </c>
      <c r="B88" s="76"/>
      <c r="C88" s="76"/>
      <c r="D88" s="30" t="str">
        <f t="shared" si="6"/>
        <v> </v>
      </c>
      <c r="E88" s="17" t="str">
        <f t="shared" si="4"/>
        <v> </v>
      </c>
      <c r="F88" s="31" t="str">
        <f t="shared" si="5"/>
        <v> </v>
      </c>
      <c r="G88" s="18" t="str">
        <f t="shared" si="7"/>
        <v> </v>
      </c>
      <c r="H88" s="18"/>
      <c r="I88" s="18" t="e">
        <f t="shared" si="8"/>
        <v>#VALUE!</v>
      </c>
      <c r="J88" s="18"/>
      <c r="K88" s="18" t="e">
        <f t="shared" si="9"/>
        <v>#VALUE!</v>
      </c>
      <c r="L88" s="18"/>
      <c r="M88" s="18" t="e">
        <f t="shared" si="10"/>
        <v>#VALUE!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s="5" customFormat="1" ht="11.25" hidden="1">
      <c r="A89" s="29"/>
      <c r="B89" s="29"/>
      <c r="C89" s="29"/>
      <c r="D89" s="30"/>
      <c r="E89" s="17"/>
      <c r="F89" s="31"/>
      <c r="G89" s="18"/>
      <c r="H89" s="18"/>
      <c r="I89" s="18"/>
      <c r="J89" s="18"/>
      <c r="K89" s="18"/>
      <c r="L89" s="18"/>
      <c r="M89" s="18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s="5" customFormat="1" ht="11.25" hidden="1">
      <c r="A90" s="29"/>
      <c r="B90" s="29"/>
      <c r="C90" s="29"/>
      <c r="D90" s="30"/>
      <c r="E90" s="17"/>
      <c r="F90" s="31"/>
      <c r="G90" s="18"/>
      <c r="H90" s="18"/>
      <c r="I90" s="18"/>
      <c r="J90" s="18"/>
      <c r="K90" s="18"/>
      <c r="L90" s="18"/>
      <c r="M90" s="18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5" customFormat="1" ht="11.25" hidden="1">
      <c r="A91" s="29"/>
      <c r="B91" s="29"/>
      <c r="C91" s="29"/>
      <c r="D91" s="30"/>
      <c r="E91" s="17"/>
      <c r="F91" s="31"/>
      <c r="G91" s="18"/>
      <c r="H91" s="18"/>
      <c r="I91" s="18"/>
      <c r="J91" s="18"/>
      <c r="K91" s="18"/>
      <c r="L91" s="18"/>
      <c r="M91" s="18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5" customFormat="1" ht="11.25">
      <c r="A92" s="29"/>
      <c r="B92" s="29"/>
      <c r="C92" s="29"/>
      <c r="D92" s="30"/>
      <c r="E92" s="17"/>
      <c r="F92" s="31"/>
      <c r="G92" s="18"/>
      <c r="H92" s="18"/>
      <c r="I92" s="18"/>
      <c r="J92" s="18"/>
      <c r="K92" s="18"/>
      <c r="L92" s="18"/>
      <c r="M92" s="18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s="5" customFormat="1" ht="11.25">
      <c r="A93" s="3" t="s">
        <v>77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5" customFormat="1" ht="11.25">
      <c r="A94" s="61"/>
      <c r="B94" s="61" t="s">
        <v>88</v>
      </c>
      <c r="C94" s="61"/>
      <c r="D94" s="61"/>
      <c r="E94" s="61"/>
      <c r="F94" s="69" t="e">
        <f>DATE(YEAR(MAX(D53:D87)+30),MONTH(MAX(D53:D87)+30),DAY(#REF!))</f>
        <v>#REF!</v>
      </c>
      <c r="G94" s="70">
        <f>G35*80%</f>
        <v>8193685.5</v>
      </c>
      <c r="H94" s="70"/>
      <c r="I94" s="70">
        <f>I35*80%</f>
        <v>8668291.499999998</v>
      </c>
      <c r="J94" s="70"/>
      <c r="K94" s="70">
        <f>K35*80%</f>
        <v>9785803.5</v>
      </c>
      <c r="L94" s="70"/>
      <c r="M94" s="70">
        <f>M35*80%</f>
        <v>12667941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s="5" customFormat="1" ht="11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s="5" customFormat="1" ht="11.25">
      <c r="A96" s="4"/>
      <c r="B96" s="3" t="s">
        <v>92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s="5" customFormat="1" ht="11.25">
      <c r="A97" s="4"/>
      <c r="B97" s="4" t="s">
        <v>89</v>
      </c>
      <c r="C97" s="4"/>
      <c r="D97" s="4"/>
      <c r="E97" s="4"/>
      <c r="F97" s="4"/>
      <c r="G97" s="40">
        <f>G94*0.0198012</f>
        <v>162244.8053226</v>
      </c>
      <c r="H97" s="40"/>
      <c r="I97" s="40">
        <f>I94*0.0198012</f>
        <v>171642.57364979998</v>
      </c>
      <c r="J97" s="40"/>
      <c r="K97" s="40">
        <f>K94*0.0198012</f>
        <v>193770.6522642</v>
      </c>
      <c r="L97" s="40"/>
      <c r="M97" s="40">
        <f>M94*0.0198012</f>
        <v>250840.43332920002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s="5" customFormat="1" ht="11.25">
      <c r="A98" s="4"/>
      <c r="B98" s="4" t="s">
        <v>90</v>
      </c>
      <c r="C98" s="4"/>
      <c r="D98" s="4"/>
      <c r="E98" s="4"/>
      <c r="F98" s="4"/>
      <c r="G98" s="40">
        <f>G94*0.01266758</f>
        <v>103794.16656608999</v>
      </c>
      <c r="H98" s="40"/>
      <c r="I98" s="40">
        <f>I94*0.01266758</f>
        <v>109806.27603956997</v>
      </c>
      <c r="J98" s="40"/>
      <c r="K98" s="40">
        <f>K94*0.01266758</f>
        <v>123962.44870052999</v>
      </c>
      <c r="L98" s="40"/>
      <c r="M98" s="40">
        <f>M94*0.01266758</f>
        <v>160472.15605278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s="5" customFormat="1" ht="11.25">
      <c r="A99" s="4"/>
      <c r="B99" s="4" t="s">
        <v>91</v>
      </c>
      <c r="C99" s="4"/>
      <c r="D99" s="4"/>
      <c r="E99" s="4"/>
      <c r="F99" s="4"/>
      <c r="G99" s="40">
        <f>G94*0.01074605</f>
        <v>88049.754067275</v>
      </c>
      <c r="H99" s="40"/>
      <c r="I99" s="40">
        <f>I94*0.0107460512</f>
        <v>93149.90427552478</v>
      </c>
      <c r="J99" s="40"/>
      <c r="K99" s="40">
        <f>K94*0.01074605</f>
        <v>105158.733701175</v>
      </c>
      <c r="L99" s="40"/>
      <c r="M99" s="40">
        <f>M94*0.01074605</f>
        <v>136130.32738305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s="5" customFormat="1" ht="11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5" customFormat="1" ht="11.25">
      <c r="A101" s="3" t="s">
        <v>78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5" customFormat="1" ht="12.75">
      <c r="A102" s="4" t="s">
        <v>79</v>
      </c>
      <c r="B102" s="4"/>
      <c r="C102" s="4"/>
      <c r="D102" s="4"/>
      <c r="E102" s="4"/>
      <c r="F102" s="4"/>
      <c r="G102" s="4"/>
      <c r="H102" s="4"/>
      <c r="I102" s="4"/>
      <c r="J102" s="4"/>
      <c r="K102" s="48"/>
      <c r="L102" s="49"/>
      <c r="M102" s="49"/>
      <c r="N102" s="50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s="5" customFormat="1" ht="12.75">
      <c r="A103" s="4" t="s">
        <v>80</v>
      </c>
      <c r="B103" s="4"/>
      <c r="C103" s="4"/>
      <c r="D103" s="4"/>
      <c r="E103" s="4"/>
      <c r="F103" s="4"/>
      <c r="G103" s="4"/>
      <c r="H103" s="4"/>
      <c r="I103" s="4"/>
      <c r="J103" s="4"/>
      <c r="K103" s="48"/>
      <c r="L103" s="49"/>
      <c r="M103" s="49"/>
      <c r="N103" s="51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5" customFormat="1" ht="12.75">
      <c r="A104" s="4" t="s">
        <v>81</v>
      </c>
      <c r="B104" s="4"/>
      <c r="C104" s="4"/>
      <c r="D104" s="4"/>
      <c r="E104" s="4"/>
      <c r="F104" s="4"/>
      <c r="G104" s="4"/>
      <c r="H104" s="4"/>
      <c r="I104" s="4"/>
      <c r="J104" s="4"/>
      <c r="K104" s="48"/>
      <c r="L104" s="49"/>
      <c r="M104" s="49"/>
      <c r="N104" s="51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s="5" customFormat="1" ht="11.25">
      <c r="A105" s="4" t="s">
        <v>82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s="5" customFormat="1" ht="11.25">
      <c r="A106" s="77" t="s">
        <v>83</v>
      </c>
      <c r="B106" s="77"/>
      <c r="C106" s="77"/>
      <c r="D106" s="77"/>
      <c r="E106" s="77"/>
      <c r="F106" s="77"/>
      <c r="G106" s="77"/>
      <c r="H106" s="15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s="5" customFormat="1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</sheetData>
  <sheetProtection/>
  <mergeCells count="45">
    <mergeCell ref="A87:C87"/>
    <mergeCell ref="A88:C88"/>
    <mergeCell ref="A106:G106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2:D52"/>
    <mergeCell ref="G52:M52"/>
    <mergeCell ref="A53:D53"/>
    <mergeCell ref="A54:C54"/>
    <mergeCell ref="A55:C55"/>
    <mergeCell ref="A56:C56"/>
    <mergeCell ref="A2:M2"/>
    <mergeCell ref="A3:M3"/>
    <mergeCell ref="A4:M4"/>
    <mergeCell ref="A5:M5"/>
    <mergeCell ref="F7:G7"/>
    <mergeCell ref="B46:E46"/>
  </mergeCells>
  <conditionalFormatting sqref="B15 B30">
    <cfRule type="expression" priority="8" dxfId="71" stopIfTrue="1">
      <formula>G15=0</formula>
    </cfRule>
  </conditionalFormatting>
  <conditionalFormatting sqref="A54:C61">
    <cfRule type="expression" priority="9" dxfId="71" stopIfTrue="1">
      <formula>VALUE(NoDPSchedule)&lt;VALUE(LEFT(A54,1))</formula>
    </cfRule>
  </conditionalFormatting>
  <conditionalFormatting sqref="A62:C92">
    <cfRule type="expression" priority="10" dxfId="71" stopIfTrue="1">
      <formula>VALUE(NoDPSchedule)&lt;VALUE(LEFT(A62,2))</formula>
    </cfRule>
  </conditionalFormatting>
  <conditionalFormatting sqref="H15 H30">
    <cfRule type="expression" priority="11" dxfId="71" stopIfTrue="1">
      <formula>H15=0</formula>
    </cfRule>
  </conditionalFormatting>
  <conditionalFormatting sqref="I15:J15">
    <cfRule type="expression" priority="7" dxfId="71" stopIfTrue="1">
      <formula>I15=0</formula>
    </cfRule>
  </conditionalFormatting>
  <conditionalFormatting sqref="K15:L15">
    <cfRule type="expression" priority="6" dxfId="71" stopIfTrue="1">
      <formula>K15=0</formula>
    </cfRule>
  </conditionalFormatting>
  <conditionalFormatting sqref="M15">
    <cfRule type="expression" priority="5" dxfId="71" stopIfTrue="1">
      <formula>M15=0</formula>
    </cfRule>
  </conditionalFormatting>
  <conditionalFormatting sqref="K30:M30">
    <cfRule type="expression" priority="3" dxfId="71" stopIfTrue="1">
      <formula>K30=0</formula>
    </cfRule>
  </conditionalFormatting>
  <conditionalFormatting sqref="I30:J30">
    <cfRule type="expression" priority="4" dxfId="71" stopIfTrue="1">
      <formula>I30=0</formula>
    </cfRule>
  </conditionalFormatting>
  <conditionalFormatting sqref="G15">
    <cfRule type="expression" priority="2" dxfId="71" stopIfTrue="1">
      <formula>G15=0</formula>
    </cfRule>
  </conditionalFormatting>
  <conditionalFormatting sqref="G30">
    <cfRule type="expression" priority="1" dxfId="71" stopIfTrue="1">
      <formula>G30=0</formula>
    </cfRule>
  </conditionalFormatting>
  <printOptions horizontalCentered="1"/>
  <pageMargins left="0.12" right="0.2" top="0.5" bottom="0.5" header="0.5" footer="0.5"/>
  <pageSetup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IV66"/>
  <sheetViews>
    <sheetView zoomScalePageLayoutView="0" workbookViewId="0" topLeftCell="A1">
      <selection activeCell="G33" sqref="G33"/>
    </sheetView>
  </sheetViews>
  <sheetFormatPr defaultColWidth="12.375" defaultRowHeight="12.75" customHeight="1"/>
  <cols>
    <col min="1" max="3" width="12.375" style="1" customWidth="1"/>
    <col min="4" max="4" width="12.625" style="1" bestFit="1" customWidth="1"/>
    <col min="5" max="5" width="38.125" style="1" hidden="1" customWidth="1"/>
    <col min="6" max="6" width="12.375" style="1" hidden="1" customWidth="1"/>
    <col min="7" max="7" width="18.625" style="1" customWidth="1"/>
    <col min="8" max="8" width="1.625" style="1" customWidth="1"/>
    <col min="9" max="9" width="18.625" style="1" customWidth="1"/>
    <col min="10" max="10" width="1.625" style="1" customWidth="1"/>
    <col min="11" max="11" width="18.625" style="1" customWidth="1"/>
    <col min="12" max="12" width="1.625" style="1" customWidth="1"/>
    <col min="13" max="13" width="18.625" style="1" customWidth="1"/>
    <col min="14" max="14" width="13.75390625" style="1" bestFit="1" customWidth="1"/>
    <col min="15" max="16384" width="12.375" style="1" customWidth="1"/>
  </cols>
  <sheetData>
    <row r="1" ht="15" customHeight="1" thickBot="1">
      <c r="A1" s="46"/>
    </row>
    <row r="2" spans="1:13" ht="15.75" customHeight="1" thickTop="1">
      <c r="A2" s="78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ht="14.25" customHeight="1">
      <c r="A3" s="81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3" ht="30" customHeight="1">
      <c r="A4" s="87" t="s">
        <v>96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</row>
    <row r="5" spans="1:13" ht="13.5" customHeight="1" thickBot="1">
      <c r="A5" s="84" t="s">
        <v>108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7:13" ht="13.5" customHeight="1" thickTop="1">
      <c r="G6" s="2"/>
      <c r="H6" s="2"/>
      <c r="I6" s="2"/>
      <c r="J6" s="2"/>
      <c r="K6" s="2"/>
      <c r="L6" s="2"/>
      <c r="M6" s="2"/>
    </row>
    <row r="7" spans="1:256" s="5" customFormat="1" ht="13.5" customHeight="1">
      <c r="A7" s="7"/>
      <c r="B7" s="7"/>
      <c r="C7" s="8" t="s">
        <v>9</v>
      </c>
      <c r="D7" s="8"/>
      <c r="E7" s="4"/>
      <c r="F7" s="91" t="s">
        <v>114</v>
      </c>
      <c r="G7" s="91"/>
      <c r="H7" s="8"/>
      <c r="I7" s="34" t="s">
        <v>95</v>
      </c>
      <c r="J7" s="8"/>
      <c r="K7" s="35" t="s">
        <v>120</v>
      </c>
      <c r="L7" s="8"/>
      <c r="M7" s="36" t="s">
        <v>111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5" customFormat="1" ht="11.25">
      <c r="A8" s="7"/>
      <c r="B8" s="7"/>
      <c r="C8" s="8" t="s">
        <v>4</v>
      </c>
      <c r="D8" s="7"/>
      <c r="E8" s="4"/>
      <c r="F8" s="7"/>
      <c r="G8" s="57">
        <v>1</v>
      </c>
      <c r="H8" s="7"/>
      <c r="I8" s="7">
        <v>1</v>
      </c>
      <c r="J8" s="7"/>
      <c r="K8" s="7">
        <v>1</v>
      </c>
      <c r="L8" s="7"/>
      <c r="M8" s="7">
        <v>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5" customFormat="1" ht="11.25">
      <c r="A9" s="7"/>
      <c r="B9" s="7"/>
      <c r="C9" s="8" t="s">
        <v>5</v>
      </c>
      <c r="D9" s="7"/>
      <c r="E9" s="4"/>
      <c r="F9" s="7"/>
      <c r="G9" s="57" t="s">
        <v>117</v>
      </c>
      <c r="H9" s="7"/>
      <c r="I9" s="7" t="s">
        <v>117</v>
      </c>
      <c r="J9" s="7"/>
      <c r="K9" s="7" t="s">
        <v>117</v>
      </c>
      <c r="L9" s="7"/>
      <c r="M9" s="7" t="s">
        <v>112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5" customFormat="1" ht="11.25">
      <c r="A10" s="4"/>
      <c r="B10" s="4"/>
      <c r="C10" s="8" t="s">
        <v>6</v>
      </c>
      <c r="D10" s="4"/>
      <c r="E10" s="4"/>
      <c r="F10" s="7"/>
      <c r="G10" s="57">
        <v>19</v>
      </c>
      <c r="H10" s="7"/>
      <c r="I10" s="7">
        <v>25</v>
      </c>
      <c r="J10" s="7"/>
      <c r="K10" s="7">
        <v>18</v>
      </c>
      <c r="L10" s="7"/>
      <c r="M10" s="7">
        <v>3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5" customFormat="1" ht="12.75" customHeight="1">
      <c r="A11" s="4"/>
      <c r="B11" s="4"/>
      <c r="C11" s="8" t="s">
        <v>7</v>
      </c>
      <c r="D11" s="4"/>
      <c r="E11" s="4"/>
      <c r="F11" s="7"/>
      <c r="G11" s="57">
        <v>245</v>
      </c>
      <c r="H11" s="7"/>
      <c r="I11" s="7">
        <v>274</v>
      </c>
      <c r="J11" s="7"/>
      <c r="K11" s="7">
        <v>317</v>
      </c>
      <c r="L11" s="7"/>
      <c r="M11" s="7">
        <v>327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5" customFormat="1" ht="12.75" customHeight="1">
      <c r="A12" s="4"/>
      <c r="B12" s="4"/>
      <c r="C12" s="8" t="s">
        <v>8</v>
      </c>
      <c r="D12" s="4"/>
      <c r="E12" s="4"/>
      <c r="F12" s="7"/>
      <c r="G12" s="57">
        <v>98</v>
      </c>
      <c r="H12" s="7"/>
      <c r="I12" s="7">
        <v>117</v>
      </c>
      <c r="J12" s="7"/>
      <c r="K12" s="7">
        <v>129</v>
      </c>
      <c r="L12" s="7"/>
      <c r="M12" s="7">
        <v>129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5" customFormat="1" ht="12.75" customHeight="1">
      <c r="A13" s="4"/>
      <c r="B13" s="4"/>
      <c r="C13" s="4"/>
      <c r="D13" s="47"/>
      <c r="E13" s="4"/>
      <c r="F13" s="7"/>
      <c r="G13" s="57"/>
      <c r="H13" s="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5" customFormat="1" ht="11.25">
      <c r="A14" s="10" t="s">
        <v>12</v>
      </c>
      <c r="B14" s="10"/>
      <c r="C14" s="11"/>
      <c r="D14" s="12"/>
      <c r="E14" s="12"/>
      <c r="F14" s="13" t="s">
        <v>13</v>
      </c>
      <c r="G14" s="14">
        <v>9354000</v>
      </c>
      <c r="H14" s="43"/>
      <c r="I14" s="14">
        <v>10301000</v>
      </c>
      <c r="J14" s="43"/>
      <c r="K14" s="14">
        <v>11629000</v>
      </c>
      <c r="L14" s="43"/>
      <c r="M14" s="14">
        <v>15054000</v>
      </c>
      <c r="N14" s="18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5" customFormat="1" ht="12" thickBot="1">
      <c r="A15" s="4" t="s">
        <v>14</v>
      </c>
      <c r="B15" s="4" t="s">
        <v>15</v>
      </c>
      <c r="C15" s="15"/>
      <c r="D15" s="18"/>
      <c r="E15" s="4"/>
      <c r="F15" s="16"/>
      <c r="G15" s="17">
        <f>IF(ISERROR(FIND("LOT ONLY",Model,1)),IF(SellingPrice&gt;3199200,(G14-(G14/1.12)),0),IF(SellingPrice&gt;1919500,(G14-(G14/1.12)),0))</f>
        <v>1002214.2857142864</v>
      </c>
      <c r="H15" s="17"/>
      <c r="I15" s="17">
        <f>IF(ISERROR(FIND("LOT ONLY",Model,1)),IF(SellingPrice&gt;3199200,(I14-(I14/1.12)),0),IF(SellingPrice&gt;1919500,(I14-(I14/1.12)),0))</f>
        <v>1103678.5714285728</v>
      </c>
      <c r="J15" s="17"/>
      <c r="K15" s="17">
        <f>IF(ISERROR(FIND("LOT ONLY",Model,1)),IF(SellingPrice&gt;3199200,(K14-(K14/1.12)),0),IF(SellingPrice&gt;1919500,(K14-(K14/1.12)),0))</f>
        <v>1245964.2857142873</v>
      </c>
      <c r="L15" s="17"/>
      <c r="M15" s="17">
        <f>IF(ISERROR(FIND("LOT ONLY",Model,1)),IF(SellingPrice&gt;3199200,(M14-(M14/1.12)),0),IF(SellingPrice&gt;1919500,(M14-(M14/1.12)),0))</f>
        <v>1612928.5714285728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5" customFormat="1" ht="11.25" hidden="1">
      <c r="A16" s="6">
        <v>0</v>
      </c>
      <c r="B16" s="4" t="s">
        <v>106</v>
      </c>
      <c r="C16" s="4"/>
      <c r="D16" s="18"/>
      <c r="E16" s="4"/>
      <c r="F16" s="16"/>
      <c r="G16" s="18">
        <f>(G14-G15)*(PercentageDiscount/100)*(SpotDownpayment/100)</f>
        <v>0</v>
      </c>
      <c r="H16" s="18"/>
      <c r="I16" s="18">
        <f>(I14-I15)*(PercentageDiscount/100)*(SpotDownpayment/100)</f>
        <v>0</v>
      </c>
      <c r="J16" s="18"/>
      <c r="K16" s="18">
        <f>(K14-K15)*(PercentageDiscount/100)*(SpotDownpayment/100)</f>
        <v>0</v>
      </c>
      <c r="L16" s="18"/>
      <c r="M16" s="18">
        <f>(M14-M15)*(PercentageDiscount/100)*(SpotDownpayment/100)</f>
        <v>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5" customFormat="1" ht="12" hidden="1" thickBot="1">
      <c r="A17" s="4"/>
      <c r="B17" s="4" t="s">
        <v>16</v>
      </c>
      <c r="C17" s="4"/>
      <c r="D17" s="4"/>
      <c r="E17" s="4"/>
      <c r="F17" s="4"/>
      <c r="G17" s="18"/>
      <c r="H17" s="18"/>
      <c r="I17" s="18"/>
      <c r="J17" s="18"/>
      <c r="K17" s="18"/>
      <c r="L17" s="18"/>
      <c r="M17" s="18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11.25" hidden="1">
      <c r="A18" s="4"/>
      <c r="B18" s="4" t="s">
        <v>17</v>
      </c>
      <c r="C18" s="4"/>
      <c r="D18" s="4"/>
      <c r="E18" s="4"/>
      <c r="F18" s="4"/>
      <c r="G18" s="18"/>
      <c r="H18" s="18"/>
      <c r="I18" s="18"/>
      <c r="J18" s="18"/>
      <c r="K18" s="18"/>
      <c r="L18" s="18"/>
      <c r="M18" s="1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1.25" hidden="1">
      <c r="A19" s="4"/>
      <c r="B19" s="4" t="s">
        <v>18</v>
      </c>
      <c r="C19" s="4"/>
      <c r="D19" s="4"/>
      <c r="E19" s="4"/>
      <c r="F19" s="4"/>
      <c r="G19" s="18"/>
      <c r="H19" s="18"/>
      <c r="I19" s="18"/>
      <c r="J19" s="18"/>
      <c r="K19" s="18"/>
      <c r="L19" s="18"/>
      <c r="M19" s="18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1.25" hidden="1">
      <c r="A20" s="4"/>
      <c r="B20" s="59" t="s">
        <v>115</v>
      </c>
      <c r="C20" s="45"/>
      <c r="D20" s="45"/>
      <c r="E20" s="4"/>
      <c r="F20" s="4"/>
      <c r="G20" s="18"/>
      <c r="H20" s="18"/>
      <c r="I20" s="18"/>
      <c r="J20" s="18"/>
      <c r="K20" s="18"/>
      <c r="L20" s="18"/>
      <c r="M20" s="18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1.25" hidden="1">
      <c r="A21" s="4"/>
      <c r="B21" s="55"/>
      <c r="C21" s="4"/>
      <c r="D21" s="4"/>
      <c r="E21" s="4"/>
      <c r="F21" s="4"/>
      <c r="G21" s="18"/>
      <c r="H21" s="18"/>
      <c r="I21" s="18"/>
      <c r="J21" s="18"/>
      <c r="K21" s="18"/>
      <c r="L21" s="18"/>
      <c r="M21" s="18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1.25" hidden="1">
      <c r="A22" s="4"/>
      <c r="B22" s="4" t="s">
        <v>21</v>
      </c>
      <c r="C22" s="4"/>
      <c r="D22" s="4"/>
      <c r="E22" s="4"/>
      <c r="F22" s="4"/>
      <c r="G22" s="18">
        <v>0</v>
      </c>
      <c r="H22" s="18"/>
      <c r="I22" s="18">
        <v>0</v>
      </c>
      <c r="J22" s="18"/>
      <c r="K22" s="18">
        <v>0</v>
      </c>
      <c r="L22" s="18"/>
      <c r="M22" s="18">
        <v>0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1.25" hidden="1">
      <c r="A23" s="4"/>
      <c r="B23" s="4" t="s">
        <v>22</v>
      </c>
      <c r="C23" s="4"/>
      <c r="D23" s="4"/>
      <c r="E23" s="4"/>
      <c r="F23" s="4"/>
      <c r="G23" s="18">
        <v>0</v>
      </c>
      <c r="H23" s="18"/>
      <c r="I23" s="18">
        <v>0</v>
      </c>
      <c r="J23" s="18"/>
      <c r="K23" s="18">
        <v>0</v>
      </c>
      <c r="L23" s="18"/>
      <c r="M23" s="18">
        <v>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1.25" hidden="1">
      <c r="A24" s="4"/>
      <c r="B24" s="4" t="s">
        <v>99</v>
      </c>
      <c r="C24" s="4"/>
      <c r="D24" s="4"/>
      <c r="E24" s="4"/>
      <c r="F24" s="4"/>
      <c r="G24" s="18">
        <v>0</v>
      </c>
      <c r="H24" s="18"/>
      <c r="I24" s="18">
        <v>0</v>
      </c>
      <c r="J24" s="18"/>
      <c r="K24" s="18">
        <v>0</v>
      </c>
      <c r="L24" s="18"/>
      <c r="M24" s="18">
        <v>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1.25" hidden="1">
      <c r="A25" s="4"/>
      <c r="B25" s="4" t="s">
        <v>24</v>
      </c>
      <c r="C25" s="4"/>
      <c r="D25" s="4"/>
      <c r="E25" s="4"/>
      <c r="F25" s="4"/>
      <c r="G25" s="18">
        <v>0</v>
      </c>
      <c r="H25" s="18"/>
      <c r="I25" s="18">
        <v>0</v>
      </c>
      <c r="J25" s="18"/>
      <c r="K25" s="18">
        <v>0</v>
      </c>
      <c r="L25" s="18"/>
      <c r="M25" s="18">
        <v>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1.25" hidden="1">
      <c r="A26" s="4"/>
      <c r="B26" s="4" t="s">
        <v>25</v>
      </c>
      <c r="C26" s="4"/>
      <c r="D26" s="4"/>
      <c r="E26" s="4"/>
      <c r="F26" s="4"/>
      <c r="G26" s="18">
        <v>0</v>
      </c>
      <c r="H26" s="18"/>
      <c r="I26" s="18">
        <v>0</v>
      </c>
      <c r="J26" s="18"/>
      <c r="K26" s="18">
        <v>0</v>
      </c>
      <c r="L26" s="18"/>
      <c r="M26" s="18">
        <v>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3.5" customHeight="1" hidden="1" thickBot="1">
      <c r="A27" s="4"/>
      <c r="B27" s="98" t="s">
        <v>116</v>
      </c>
      <c r="C27" s="98"/>
      <c r="D27" s="98"/>
      <c r="E27" s="4"/>
      <c r="F27" s="16"/>
      <c r="G27" s="19"/>
      <c r="H27" s="19"/>
      <c r="I27" s="19"/>
      <c r="J27" s="19"/>
      <c r="K27" s="19"/>
      <c r="L27" s="19"/>
      <c r="M27" s="19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3.5" customHeight="1" thickTop="1">
      <c r="A28" s="10" t="s">
        <v>26</v>
      </c>
      <c r="B28" s="20"/>
      <c r="C28" s="12"/>
      <c r="D28" s="54"/>
      <c r="E28" s="12"/>
      <c r="F28" s="13" t="s">
        <v>13</v>
      </c>
      <c r="G28" s="21">
        <f>(G14-G15)-SUM(G16:G26)</f>
        <v>8351785.714285714</v>
      </c>
      <c r="H28" s="19"/>
      <c r="I28" s="21">
        <f>(I14-I15)-SUM(I16:I26)</f>
        <v>9197321.428571427</v>
      </c>
      <c r="J28" s="19"/>
      <c r="K28" s="21">
        <f>(K14-K15)-SUM(K16:K26)</f>
        <v>10383035.714285713</v>
      </c>
      <c r="L28" s="19"/>
      <c r="M28" s="21">
        <f>(M14-M15)-SUM(M16:M26)</f>
        <v>13441071.428571427</v>
      </c>
      <c r="N28" s="18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1.25">
      <c r="A29" s="4" t="s">
        <v>27</v>
      </c>
      <c r="B29" s="4" t="s">
        <v>15</v>
      </c>
      <c r="C29" s="4"/>
      <c r="D29" s="4"/>
      <c r="E29" s="4"/>
      <c r="F29" s="4"/>
      <c r="G29" s="18">
        <f>G28*12%</f>
        <v>1002214.2857142856</v>
      </c>
      <c r="H29" s="18"/>
      <c r="I29" s="18">
        <f>I28*12%</f>
        <v>1103678.5714285711</v>
      </c>
      <c r="J29" s="18"/>
      <c r="K29" s="18">
        <f>K28*12%</f>
        <v>1245964.2857142854</v>
      </c>
      <c r="L29" s="18"/>
      <c r="M29" s="18">
        <f>M28*12%</f>
        <v>1612928.5714285711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1.25" hidden="1">
      <c r="A30" s="6">
        <v>5</v>
      </c>
      <c r="B30" s="4" t="s">
        <v>28</v>
      </c>
      <c r="C30" s="4"/>
      <c r="D30" s="4"/>
      <c r="E30" s="4"/>
      <c r="F30" s="4"/>
      <c r="G30" s="18" t="e">
        <f>ROUND(G28*(#REF!/100),2)</f>
        <v>#REF!</v>
      </c>
      <c r="H30" s="18"/>
      <c r="I30" s="18" t="e">
        <f>ROUND(I28*(B30/100),2)</f>
        <v>#VALUE!</v>
      </c>
      <c r="J30" s="18"/>
      <c r="K30" s="18">
        <f>ROUND(K28*(C30/100),2)</f>
        <v>0</v>
      </c>
      <c r="L30" s="18"/>
      <c r="M30" s="18">
        <f>ROUND(M28*(D30/100),2)</f>
        <v>0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1.25" hidden="1">
      <c r="A31" s="6"/>
      <c r="B31" s="4" t="s">
        <v>29</v>
      </c>
      <c r="C31" s="4"/>
      <c r="D31" s="4"/>
      <c r="E31" s="4"/>
      <c r="F31" s="6">
        <f>IF(G31&gt;50000,50000,G31)</f>
        <v>0</v>
      </c>
      <c r="G31" s="18">
        <v>0</v>
      </c>
      <c r="H31" s="18"/>
      <c r="I31" s="18">
        <v>0</v>
      </c>
      <c r="J31" s="18"/>
      <c r="K31" s="18">
        <v>0</v>
      </c>
      <c r="L31" s="18"/>
      <c r="M31" s="18">
        <v>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1.25" hidden="1">
      <c r="A32" s="6"/>
      <c r="B32" s="4" t="s">
        <v>30</v>
      </c>
      <c r="C32" s="4"/>
      <c r="D32" s="4"/>
      <c r="E32" s="4"/>
      <c r="F32" s="4"/>
      <c r="G32" s="18">
        <v>0</v>
      </c>
      <c r="H32" s="18"/>
      <c r="I32" s="18">
        <v>0</v>
      </c>
      <c r="J32" s="18"/>
      <c r="K32" s="18">
        <v>0</v>
      </c>
      <c r="L32" s="18"/>
      <c r="M32" s="18">
        <v>0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3.5" customHeight="1" thickBot="1">
      <c r="A33" s="6"/>
      <c r="B33" s="4" t="s">
        <v>31</v>
      </c>
      <c r="C33" s="4"/>
      <c r="D33" s="4"/>
      <c r="E33" s="4"/>
      <c r="F33" s="4"/>
      <c r="G33" s="18">
        <f>G28*7%</f>
        <v>584625</v>
      </c>
      <c r="H33" s="18"/>
      <c r="I33" s="18">
        <f>I28*7%</f>
        <v>643812.5</v>
      </c>
      <c r="J33" s="18"/>
      <c r="K33" s="18">
        <f>K28*7%</f>
        <v>726812.5</v>
      </c>
      <c r="L33" s="18"/>
      <c r="M33" s="18">
        <f>M28*7%</f>
        <v>940875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3.5" customHeight="1" thickTop="1">
      <c r="A34" s="10" t="s">
        <v>32</v>
      </c>
      <c r="B34" s="12"/>
      <c r="C34" s="12"/>
      <c r="D34" s="12"/>
      <c r="E34" s="12"/>
      <c r="F34" s="13" t="s">
        <v>13</v>
      </c>
      <c r="G34" s="21">
        <f>G28+SUM(G29,G33)</f>
        <v>9938625</v>
      </c>
      <c r="H34" s="19"/>
      <c r="I34" s="21">
        <f>I28+SUM(I29,I33)</f>
        <v>10944812.499999998</v>
      </c>
      <c r="J34" s="19"/>
      <c r="K34" s="21">
        <f>K28+SUM(K29,K33)</f>
        <v>12355812.499999998</v>
      </c>
      <c r="L34" s="19"/>
      <c r="M34" s="21">
        <f>M28+SUM(M29,M33)</f>
        <v>15994874.999999998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1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1.25">
      <c r="A36" s="3" t="s">
        <v>33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5" customFormat="1" ht="11.25">
      <c r="A37" s="22">
        <v>20</v>
      </c>
      <c r="B37" s="4" t="str">
        <f>CONCATENATE("Downpayment ("&amp;A37&amp;"% of Selling Price)")</f>
        <v>Downpayment (20% of Selling Price)</v>
      </c>
      <c r="C37" s="4"/>
      <c r="D37" s="4"/>
      <c r="E37" s="4"/>
      <c r="F37" s="4"/>
      <c r="G37" s="18">
        <f>ROUND((G28+G29)*(Downpayment/100),2)</f>
        <v>1870800</v>
      </c>
      <c r="H37" s="18"/>
      <c r="I37" s="18">
        <f>ROUND((I28+I29)*(Downpayment/100),2)</f>
        <v>2060200</v>
      </c>
      <c r="J37" s="18"/>
      <c r="K37" s="18">
        <f>ROUND((K28+K29)*(Downpayment/100),2)</f>
        <v>2325800</v>
      </c>
      <c r="L37" s="18"/>
      <c r="M37" s="18">
        <f>ROUND((M28+M29)*(Downpayment/100),2)</f>
        <v>3010800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5" customFormat="1" ht="13.5" customHeight="1" thickBot="1">
      <c r="A38" s="3"/>
      <c r="B38" s="4" t="s">
        <v>34</v>
      </c>
      <c r="C38" s="4"/>
      <c r="D38" s="4"/>
      <c r="E38" s="4"/>
      <c r="F38" s="4"/>
      <c r="G38" s="18">
        <f>ROUND(G33*(Downpayment/100),2)</f>
        <v>116925</v>
      </c>
      <c r="H38" s="18"/>
      <c r="I38" s="18">
        <f>ROUND(I33*(Downpayment/100),2)</f>
        <v>128762.5</v>
      </c>
      <c r="J38" s="18"/>
      <c r="K38" s="18">
        <f>ROUND(K33*(Downpayment/100),2)</f>
        <v>145362.5</v>
      </c>
      <c r="L38" s="18"/>
      <c r="M38" s="18">
        <f>ROUND(M33*(Downpayment/100),2)</f>
        <v>188175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5" customFormat="1" ht="13.5" customHeight="1" thickTop="1">
      <c r="A39" s="10" t="s">
        <v>35</v>
      </c>
      <c r="B39" s="12"/>
      <c r="C39" s="12"/>
      <c r="D39" s="12"/>
      <c r="E39" s="12"/>
      <c r="F39" s="13" t="s">
        <v>13</v>
      </c>
      <c r="G39" s="21">
        <f>SUM(G37:G38)</f>
        <v>1987725</v>
      </c>
      <c r="H39" s="19"/>
      <c r="I39" s="21">
        <f>SUM(I37:I38)</f>
        <v>2188962.5</v>
      </c>
      <c r="J39" s="19"/>
      <c r="K39" s="21">
        <f>SUM(K37:K38)</f>
        <v>2471162.5</v>
      </c>
      <c r="L39" s="19"/>
      <c r="M39" s="21">
        <f>SUM(M37:M38)</f>
        <v>3198975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5" customFormat="1" ht="13.5" customHeight="1" thickBot="1">
      <c r="A40" s="61" t="s">
        <v>14</v>
      </c>
      <c r="B40" s="61" t="s">
        <v>36</v>
      </c>
      <c r="C40" s="61"/>
      <c r="D40" s="75"/>
      <c r="E40" s="61"/>
      <c r="F40" s="63">
        <f>DATE(2014,5,28)</f>
        <v>41787</v>
      </c>
      <c r="G40" s="64">
        <v>50000</v>
      </c>
      <c r="H40" s="64"/>
      <c r="I40" s="64">
        <v>50000</v>
      </c>
      <c r="J40" s="64"/>
      <c r="K40" s="64">
        <v>50000</v>
      </c>
      <c r="L40" s="64"/>
      <c r="M40" s="64">
        <v>50000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5" customFormat="1" ht="13.5" customHeight="1" thickTop="1">
      <c r="A41" s="10" t="s">
        <v>37</v>
      </c>
      <c r="B41" s="12"/>
      <c r="C41" s="12"/>
      <c r="D41" s="12"/>
      <c r="E41" s="24"/>
      <c r="F41" s="13" t="s">
        <v>13</v>
      </c>
      <c r="G41" s="21">
        <f>G39-G40</f>
        <v>1937725</v>
      </c>
      <c r="H41" s="19"/>
      <c r="I41" s="21">
        <f>I39-I40</f>
        <v>2138962.5</v>
      </c>
      <c r="J41" s="19"/>
      <c r="K41" s="21">
        <f>K39-K40</f>
        <v>2421162.5</v>
      </c>
      <c r="L41" s="19"/>
      <c r="M41" s="21">
        <f>M39-M40</f>
        <v>3148975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5" customFormat="1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5" customFormat="1" ht="11.25" hidden="1">
      <c r="A43" s="6">
        <v>10</v>
      </c>
      <c r="B43" s="41" t="str">
        <f>CONCATENATE("Spot Downpayment ("&amp;A43&amp;"% of Selling Price)")</f>
        <v>Spot Downpayment (10% of Selling Price)</v>
      </c>
      <c r="C43" s="4"/>
      <c r="D43" s="4"/>
      <c r="E43" s="9"/>
      <c r="F43" s="23"/>
      <c r="G43" s="18">
        <f>ROUND((SUM(G28:G29)*(A43/100))-G40,2)</f>
        <v>885400</v>
      </c>
      <c r="H43" s="18"/>
      <c r="I43" s="18">
        <f>ROUND((SUM(I28:I29)*(SpotDownpayment/100))-I40,2)</f>
        <v>980100</v>
      </c>
      <c r="J43" s="18"/>
      <c r="K43" s="18">
        <f>ROUND((SUM(K28:K29)*(SpotDownpayment/100))-K40,2)</f>
        <v>1112900</v>
      </c>
      <c r="L43" s="18"/>
      <c r="M43" s="18">
        <f>ROUND((SUM(M28:M29)*(SpotDownpayment/100))-M40,2)</f>
        <v>1455400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5" customFormat="1" ht="13.5" customHeight="1" hidden="1" thickBot="1">
      <c r="A44" s="4"/>
      <c r="B44" s="4" t="s">
        <v>28</v>
      </c>
      <c r="C44" s="4"/>
      <c r="D44" s="4"/>
      <c r="E44" s="9"/>
      <c r="F44" s="23"/>
      <c r="G44" s="18">
        <f>ROUND(G33*(A43/100),2)</f>
        <v>58462.5</v>
      </c>
      <c r="H44" s="18"/>
      <c r="I44" s="18">
        <f>ROUND(I33*(SpotDownpayment/100),2)</f>
        <v>64381.25</v>
      </c>
      <c r="J44" s="18"/>
      <c r="K44" s="18">
        <f>ROUND(K33*(SpotDownpayment/100),2)</f>
        <v>72681.25</v>
      </c>
      <c r="L44" s="18"/>
      <c r="M44" s="18">
        <f>ROUND(M33*(SpotDownpayment/100),2)</f>
        <v>94087.5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5" customFormat="1" ht="25.5" customHeight="1">
      <c r="A45" s="4"/>
      <c r="B45" s="97"/>
      <c r="C45" s="97"/>
      <c r="D45" s="97"/>
      <c r="E45" s="9"/>
      <c r="F45" s="23"/>
      <c r="G45" s="90" t="s">
        <v>104</v>
      </c>
      <c r="H45" s="90"/>
      <c r="I45" s="90"/>
      <c r="J45" s="90"/>
      <c r="K45" s="90"/>
      <c r="L45" s="90"/>
      <c r="M45" s="90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5" customFormat="1" ht="11.25">
      <c r="A46" s="93" t="s">
        <v>119</v>
      </c>
      <c r="B46" s="93"/>
      <c r="C46" s="93"/>
      <c r="D46" s="93"/>
      <c r="E46" s="65"/>
      <c r="F46" s="63"/>
      <c r="G46" s="71">
        <f>G41/18</f>
        <v>107651.38888888889</v>
      </c>
      <c r="H46" s="72"/>
      <c r="I46" s="71">
        <f>I41/18</f>
        <v>118831.25</v>
      </c>
      <c r="J46" s="72"/>
      <c r="K46" s="71">
        <f>K41/18</f>
        <v>134509.02777777778</v>
      </c>
      <c r="L46" s="72"/>
      <c r="M46" s="71">
        <f>M41/18</f>
        <v>174943.05555555556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5" customFormat="1" ht="11.25" hidden="1">
      <c r="A47" s="6"/>
      <c r="B47" s="41"/>
      <c r="C47" s="4"/>
      <c r="D47" s="4"/>
      <c r="E47" s="9"/>
      <c r="F47" s="23"/>
      <c r="G47" s="18"/>
      <c r="H47" s="18"/>
      <c r="I47" s="18"/>
      <c r="J47" s="18"/>
      <c r="K47" s="18"/>
      <c r="L47" s="18"/>
      <c r="M47" s="18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5" customFormat="1" ht="11.25" hidden="1">
      <c r="A48" s="4"/>
      <c r="B48" s="4"/>
      <c r="C48" s="4"/>
      <c r="D48" s="4"/>
      <c r="E48" s="9"/>
      <c r="F48" s="23"/>
      <c r="G48" s="18"/>
      <c r="H48" s="18"/>
      <c r="I48" s="18"/>
      <c r="J48" s="18"/>
      <c r="K48" s="18"/>
      <c r="L48" s="18"/>
      <c r="M48" s="18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5" customFormat="1" ht="12" hidden="1" thickTop="1">
      <c r="A49" s="4"/>
      <c r="B49" s="42"/>
      <c r="C49" s="4"/>
      <c r="D49" s="4"/>
      <c r="E49" s="9"/>
      <c r="F49" s="23"/>
      <c r="G49" s="25"/>
      <c r="H49" s="44"/>
      <c r="I49" s="25"/>
      <c r="J49" s="44"/>
      <c r="K49" s="25"/>
      <c r="L49" s="44"/>
      <c r="M49" s="2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5" customFormat="1" ht="11.25" hidden="1">
      <c r="A50" s="4"/>
      <c r="B50" s="4"/>
      <c r="C50" s="4"/>
      <c r="D50" s="4"/>
      <c r="E50" s="9"/>
      <c r="F50" s="23"/>
      <c r="G50" s="26"/>
      <c r="H50" s="26"/>
      <c r="I50" s="26"/>
      <c r="J50" s="26"/>
      <c r="K50" s="26"/>
      <c r="L50" s="26"/>
      <c r="M50" s="2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5" customFormat="1" ht="11.25">
      <c r="A51" s="27"/>
      <c r="B51" s="92"/>
      <c r="C51" s="92"/>
      <c r="D51" s="92"/>
      <c r="E51" s="27"/>
      <c r="F51" s="28"/>
      <c r="G51" s="90"/>
      <c r="H51" s="90"/>
      <c r="I51" s="90"/>
      <c r="J51" s="90"/>
      <c r="K51" s="90"/>
      <c r="L51" s="90"/>
      <c r="M51" s="90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5" customFormat="1" ht="11.25">
      <c r="A52" s="3" t="s">
        <v>77</v>
      </c>
      <c r="B52" s="4"/>
      <c r="C52" s="4"/>
      <c r="D52" s="38"/>
      <c r="E52" s="17"/>
      <c r="F52" s="31"/>
      <c r="G52" s="18"/>
      <c r="H52" s="18"/>
      <c r="I52" s="18"/>
      <c r="J52" s="18"/>
      <c r="K52" s="18"/>
      <c r="L52" s="18"/>
      <c r="M52" s="1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5" customFormat="1" ht="11.25" customHeight="1">
      <c r="A53" s="61"/>
      <c r="B53" s="61" t="s">
        <v>88</v>
      </c>
      <c r="C53" s="61"/>
      <c r="D53" s="73"/>
      <c r="E53" s="67"/>
      <c r="F53" s="68"/>
      <c r="G53" s="74">
        <f>G34*80%</f>
        <v>7950900</v>
      </c>
      <c r="H53" s="70"/>
      <c r="I53" s="74">
        <f>I34*80%</f>
        <v>8755849.999999998</v>
      </c>
      <c r="J53" s="70"/>
      <c r="K53" s="74">
        <f>K34*80%</f>
        <v>9884649.999999998</v>
      </c>
      <c r="L53" s="70"/>
      <c r="M53" s="74">
        <f>M34*80%</f>
        <v>12795900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5" customFormat="1" ht="11.25">
      <c r="A54" s="29"/>
      <c r="B54" s="29"/>
      <c r="C54" s="29"/>
      <c r="D54" s="30"/>
      <c r="E54" s="17"/>
      <c r="F54" s="31"/>
      <c r="G54" s="18"/>
      <c r="H54" s="18"/>
      <c r="I54" s="18"/>
      <c r="J54" s="18"/>
      <c r="K54" s="18"/>
      <c r="L54" s="18"/>
      <c r="M54" s="1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5" customFormat="1" ht="11.25">
      <c r="A55" s="29"/>
      <c r="B55" s="3" t="s">
        <v>92</v>
      </c>
      <c r="C55" s="29"/>
      <c r="D55" s="30"/>
      <c r="E55" s="17"/>
      <c r="F55" s="31"/>
      <c r="G55" s="18"/>
      <c r="H55" s="18"/>
      <c r="I55" s="18"/>
      <c r="J55" s="18"/>
      <c r="K55" s="18"/>
      <c r="L55" s="18"/>
      <c r="M55" s="1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5" customFormat="1" ht="11.25">
      <c r="A56" s="29"/>
      <c r="B56" s="4" t="s">
        <v>89</v>
      </c>
      <c r="C56" s="29"/>
      <c r="D56" s="30"/>
      <c r="E56" s="17"/>
      <c r="F56" s="31"/>
      <c r="G56" s="52">
        <f>G53*0.0198012</f>
        <v>157437.36108</v>
      </c>
      <c r="H56" s="18"/>
      <c r="I56" s="52">
        <f>I53*0.0198012</f>
        <v>173376.33701999998</v>
      </c>
      <c r="J56" s="52"/>
      <c r="K56" s="52">
        <f>K53*0.0198012</f>
        <v>195727.93157999997</v>
      </c>
      <c r="L56" s="52"/>
      <c r="M56" s="52">
        <f>M53*0.0198012</f>
        <v>253374.17508000002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5" customFormat="1" ht="11.25">
      <c r="A57" s="29"/>
      <c r="B57" s="4" t="s">
        <v>90</v>
      </c>
      <c r="C57" s="29"/>
      <c r="D57" s="30"/>
      <c r="E57" s="17"/>
      <c r="F57" s="31"/>
      <c r="G57" s="52">
        <f>G53*0.01266758</f>
        <v>100718.661822</v>
      </c>
      <c r="H57" s="18"/>
      <c r="I57" s="52">
        <f>I53*0.01266758</f>
        <v>110915.43034299997</v>
      </c>
      <c r="J57" s="52"/>
      <c r="K57" s="52">
        <f>K53*0.01266758</f>
        <v>125214.59464699998</v>
      </c>
      <c r="L57" s="52"/>
      <c r="M57" s="52">
        <f>M53*0.01266758</f>
        <v>162093.086922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5" customFormat="1" ht="11.25">
      <c r="A58" s="3"/>
      <c r="B58" s="4" t="s">
        <v>91</v>
      </c>
      <c r="C58" s="4"/>
      <c r="D58" s="4"/>
      <c r="E58" s="4"/>
      <c r="F58" s="4"/>
      <c r="G58" s="52">
        <f>G53*0.01074605</f>
        <v>85440.768945</v>
      </c>
      <c r="H58" s="4"/>
      <c r="I58" s="52">
        <f>I53*0.01074605</f>
        <v>94090.80189249998</v>
      </c>
      <c r="J58" s="52"/>
      <c r="K58" s="52">
        <f>K53*0.01074605</f>
        <v>106220.94313249998</v>
      </c>
      <c r="L58" s="52"/>
      <c r="M58" s="52">
        <f>M53*0.01074605</f>
        <v>137505.381195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5" customFormat="1" ht="11.25">
      <c r="A59" s="4"/>
      <c r="B59" s="4"/>
      <c r="C59" s="4"/>
      <c r="D59" s="4"/>
      <c r="E59" s="4"/>
      <c r="F59" s="32"/>
      <c r="G59" s="33"/>
      <c r="H59" s="33"/>
      <c r="I59" s="33"/>
      <c r="J59" s="33"/>
      <c r="K59" s="33"/>
      <c r="L59" s="33"/>
      <c r="M59" s="33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5" customFormat="1" ht="11.25">
      <c r="A60" s="3" t="s">
        <v>78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5" customFormat="1" ht="12.75">
      <c r="A61" s="4" t="s">
        <v>79</v>
      </c>
      <c r="B61" s="4"/>
      <c r="C61" s="4"/>
      <c r="D61" s="4"/>
      <c r="E61" s="4"/>
      <c r="F61" s="4"/>
      <c r="G61" s="4"/>
      <c r="H61" s="4"/>
      <c r="I61" s="4"/>
      <c r="J61" s="4"/>
      <c r="K61" s="48"/>
      <c r="L61" s="49"/>
      <c r="M61" s="49"/>
      <c r="N61" s="50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5" customFormat="1" ht="12.75">
      <c r="A62" s="4" t="s">
        <v>80</v>
      </c>
      <c r="B62" s="4"/>
      <c r="C62" s="4"/>
      <c r="D62" s="4"/>
      <c r="E62" s="4"/>
      <c r="F62" s="4"/>
      <c r="G62" s="4"/>
      <c r="H62" s="4"/>
      <c r="I62" s="4"/>
      <c r="J62" s="4"/>
      <c r="K62" s="48"/>
      <c r="L62" s="49"/>
      <c r="M62" s="49"/>
      <c r="N62" s="51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5" customFormat="1" ht="12.75">
      <c r="A63" s="4" t="s">
        <v>81</v>
      </c>
      <c r="B63" s="4"/>
      <c r="C63" s="4"/>
      <c r="D63" s="4"/>
      <c r="E63" s="4"/>
      <c r="F63" s="4"/>
      <c r="G63" s="4"/>
      <c r="H63" s="4"/>
      <c r="I63" s="4"/>
      <c r="J63" s="4"/>
      <c r="K63" s="48"/>
      <c r="L63" s="49"/>
      <c r="M63" s="49"/>
      <c r="N63" s="51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5" customFormat="1" ht="11.25">
      <c r="A64" s="4" t="s">
        <v>82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5" customFormat="1" ht="11.25">
      <c r="A65" s="77" t="s">
        <v>83</v>
      </c>
      <c r="B65" s="77"/>
      <c r="C65" s="77"/>
      <c r="D65" s="77"/>
      <c r="E65" s="77"/>
      <c r="F65" s="77"/>
      <c r="G65" s="77"/>
      <c r="H65" s="1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5" customFormat="1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</sheetData>
  <sheetProtection/>
  <mergeCells count="12">
    <mergeCell ref="B45:D45"/>
    <mergeCell ref="B27:D27"/>
    <mergeCell ref="G45:M45"/>
    <mergeCell ref="A46:D46"/>
    <mergeCell ref="B51:D51"/>
    <mergeCell ref="G51:M51"/>
    <mergeCell ref="A65:G65"/>
    <mergeCell ref="A2:M2"/>
    <mergeCell ref="A3:M3"/>
    <mergeCell ref="A4:M4"/>
    <mergeCell ref="A5:M5"/>
    <mergeCell ref="F7:G7"/>
  </mergeCells>
  <conditionalFormatting sqref="B15 B29">
    <cfRule type="expression" priority="8" dxfId="71" stopIfTrue="1">
      <formula>G15=0</formula>
    </cfRule>
  </conditionalFormatting>
  <conditionalFormatting sqref="A54:C54 A55:A57 C55:C57">
    <cfRule type="expression" priority="9" dxfId="71" stopIfTrue="1">
      <formula>VALUE(NoDPSchedule)&lt;VALUE(LEFT(A54,2))</formula>
    </cfRule>
  </conditionalFormatting>
  <conditionalFormatting sqref="H15 H29">
    <cfRule type="expression" priority="10" dxfId="71" stopIfTrue="1">
      <formula>H15=0</formula>
    </cfRule>
  </conditionalFormatting>
  <conditionalFormatting sqref="I15:J15">
    <cfRule type="expression" priority="7" dxfId="71" stopIfTrue="1">
      <formula>I15=0</formula>
    </cfRule>
  </conditionalFormatting>
  <conditionalFormatting sqref="K15:L15">
    <cfRule type="expression" priority="6" dxfId="71" stopIfTrue="1">
      <formula>K15=0</formula>
    </cfRule>
  </conditionalFormatting>
  <conditionalFormatting sqref="M15">
    <cfRule type="expression" priority="5" dxfId="71" stopIfTrue="1">
      <formula>M15=0</formula>
    </cfRule>
  </conditionalFormatting>
  <conditionalFormatting sqref="I29:J29">
    <cfRule type="expression" priority="4" dxfId="71" stopIfTrue="1">
      <formula>I29=0</formula>
    </cfRule>
  </conditionalFormatting>
  <conditionalFormatting sqref="K29:M29">
    <cfRule type="expression" priority="3" dxfId="71" stopIfTrue="1">
      <formula>K29=0</formula>
    </cfRule>
  </conditionalFormatting>
  <conditionalFormatting sqref="G15">
    <cfRule type="expression" priority="2" dxfId="71" stopIfTrue="1">
      <formula>G15=0</formula>
    </cfRule>
  </conditionalFormatting>
  <conditionalFormatting sqref="G29">
    <cfRule type="expression" priority="1" dxfId="71" stopIfTrue="1">
      <formula>G29=0</formula>
    </cfRule>
  </conditionalFormatting>
  <printOptions horizontalCentered="1"/>
  <pageMargins left="0.12" right="0.2" top="0.5" bottom="0.5" header="0.5" footer="0.5"/>
  <pageSetup horizontalDpi="300" verticalDpi="3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zoomScalePageLayoutView="0" workbookViewId="0" topLeftCell="A1">
      <selection activeCell="P12" sqref="P12"/>
    </sheetView>
  </sheetViews>
  <sheetFormatPr defaultColWidth="12.375" defaultRowHeight="12.75" customHeight="1"/>
  <cols>
    <col min="1" max="3" width="12.375" style="1" customWidth="1"/>
    <col min="4" max="4" width="16.25390625" style="1" customWidth="1"/>
    <col min="5" max="5" width="38.125" style="1" hidden="1" customWidth="1"/>
    <col min="6" max="6" width="0" style="1" hidden="1" customWidth="1"/>
    <col min="7" max="7" width="18.625" style="1" customWidth="1"/>
    <col min="8" max="8" width="1.625" style="1" customWidth="1"/>
    <col min="9" max="9" width="18.625" style="1" customWidth="1"/>
    <col min="10" max="10" width="1.625" style="1" customWidth="1"/>
    <col min="11" max="11" width="18.625" style="1" customWidth="1"/>
    <col min="12" max="12" width="1.625" style="1" customWidth="1"/>
    <col min="13" max="13" width="18.625" style="1" hidden="1" customWidth="1"/>
    <col min="14" max="16384" width="12.375" style="1" customWidth="1"/>
  </cols>
  <sheetData>
    <row r="1" ht="15" customHeight="1" thickBot="1">
      <c r="A1" s="46" t="s">
        <v>105</v>
      </c>
    </row>
    <row r="2" spans="1:13" ht="15.75" customHeight="1" thickTop="1">
      <c r="A2" s="78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ht="14.25" customHeight="1">
      <c r="A3" s="81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3" ht="30" customHeight="1">
      <c r="A4" s="87" t="s">
        <v>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</row>
    <row r="5" spans="1:13" ht="13.5" customHeight="1" thickBot="1">
      <c r="A5" s="84" t="s">
        <v>100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7:13" ht="13.5" customHeight="1" thickTop="1">
      <c r="G6" s="2"/>
      <c r="H6" s="2"/>
      <c r="I6" s="2"/>
      <c r="J6" s="2"/>
      <c r="K6" s="2"/>
      <c r="L6" s="2"/>
      <c r="M6" s="2"/>
    </row>
    <row r="7" spans="1:256" s="5" customFormat="1" ht="13.5" customHeight="1">
      <c r="A7" s="7"/>
      <c r="B7" s="7"/>
      <c r="C7" s="8" t="s">
        <v>9</v>
      </c>
      <c r="D7" s="8"/>
      <c r="E7" s="4"/>
      <c r="F7" s="91" t="s">
        <v>10</v>
      </c>
      <c r="G7" s="91"/>
      <c r="H7" s="8"/>
      <c r="I7" s="34" t="s">
        <v>84</v>
      </c>
      <c r="J7" s="8"/>
      <c r="K7" s="35" t="s">
        <v>85</v>
      </c>
      <c r="L7" s="8"/>
      <c r="M7" s="36" t="s">
        <v>101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5" customFormat="1" ht="11.25">
      <c r="A8" s="7"/>
      <c r="B8" s="7"/>
      <c r="C8" s="8" t="s">
        <v>4</v>
      </c>
      <c r="D8" s="7"/>
      <c r="E8" s="4"/>
      <c r="F8" s="7"/>
      <c r="G8" s="7">
        <v>1</v>
      </c>
      <c r="H8" s="7"/>
      <c r="I8" s="7">
        <v>2</v>
      </c>
      <c r="J8" s="7"/>
      <c r="K8" s="7">
        <v>1</v>
      </c>
      <c r="L8" s="7"/>
      <c r="M8" s="7">
        <v>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5" customFormat="1" ht="11.25">
      <c r="A9" s="7"/>
      <c r="B9" s="7"/>
      <c r="C9" s="8" t="s">
        <v>5</v>
      </c>
      <c r="D9" s="7"/>
      <c r="E9" s="4"/>
      <c r="F9" s="7"/>
      <c r="G9" s="7">
        <v>1</v>
      </c>
      <c r="H9" s="7"/>
      <c r="I9" s="7">
        <v>32</v>
      </c>
      <c r="J9" s="7"/>
      <c r="K9" s="7">
        <v>7</v>
      </c>
      <c r="L9" s="7"/>
      <c r="M9" s="7">
        <v>3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5" customFormat="1" ht="11.25">
      <c r="A10" s="4"/>
      <c r="B10" s="4"/>
      <c r="C10" s="8" t="s">
        <v>6</v>
      </c>
      <c r="D10" s="4"/>
      <c r="E10" s="4"/>
      <c r="F10" s="7"/>
      <c r="G10" s="7">
        <v>5</v>
      </c>
      <c r="H10" s="7"/>
      <c r="I10" s="7">
        <v>46</v>
      </c>
      <c r="J10" s="7"/>
      <c r="K10" s="7">
        <v>15</v>
      </c>
      <c r="L10" s="7"/>
      <c r="M10" s="7">
        <v>29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5" customFormat="1" ht="12.75" customHeight="1">
      <c r="A11" s="4"/>
      <c r="B11" s="4"/>
      <c r="C11" s="8" t="s">
        <v>7</v>
      </c>
      <c r="D11" s="4"/>
      <c r="E11" s="4"/>
      <c r="F11" s="7"/>
      <c r="G11" s="7">
        <v>156</v>
      </c>
      <c r="H11" s="7"/>
      <c r="I11" s="7">
        <v>150</v>
      </c>
      <c r="J11" s="7"/>
      <c r="K11" s="7">
        <v>160</v>
      </c>
      <c r="L11" s="7"/>
      <c r="M11" s="7">
        <v>146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5" customFormat="1" ht="12.75" customHeight="1">
      <c r="A12" s="4"/>
      <c r="B12" s="4"/>
      <c r="C12" s="8" t="s">
        <v>8</v>
      </c>
      <c r="D12" s="4"/>
      <c r="E12" s="4"/>
      <c r="F12" s="7"/>
      <c r="G12" s="7" t="s">
        <v>11</v>
      </c>
      <c r="H12" s="7"/>
      <c r="I12" s="7">
        <v>53</v>
      </c>
      <c r="J12" s="7"/>
      <c r="K12" s="7">
        <v>69</v>
      </c>
      <c r="L12" s="7"/>
      <c r="M12" s="7">
        <v>88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5" customFormat="1" ht="12.75" customHeight="1">
      <c r="A13" s="4"/>
      <c r="B13" s="4"/>
      <c r="C13" s="4"/>
      <c r="D13" s="47"/>
      <c r="E13" s="4"/>
      <c r="F13" s="7"/>
      <c r="G13" s="7"/>
      <c r="H13" s="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5" customFormat="1" ht="11.25">
      <c r="A14" s="10" t="s">
        <v>12</v>
      </c>
      <c r="B14" s="10"/>
      <c r="C14" s="11"/>
      <c r="D14" s="12"/>
      <c r="E14" s="12"/>
      <c r="F14" s="13" t="s">
        <v>13</v>
      </c>
      <c r="G14" s="14">
        <v>2935000</v>
      </c>
      <c r="H14" s="43"/>
      <c r="I14" s="14">
        <v>4358000</v>
      </c>
      <c r="J14" s="43"/>
      <c r="K14" s="14">
        <v>5010000</v>
      </c>
      <c r="L14" s="43"/>
      <c r="M14" s="14">
        <v>6451000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5" customFormat="1" ht="11.25">
      <c r="A15" s="4" t="s">
        <v>14</v>
      </c>
      <c r="B15" s="4" t="s">
        <v>15</v>
      </c>
      <c r="C15" s="15"/>
      <c r="D15" s="18"/>
      <c r="E15" s="4"/>
      <c r="F15" s="16"/>
      <c r="G15" s="17">
        <f>IF(ISERROR(FIND("LOT ONLY",Model,1)),IF(SellingPrice&gt;3199200,(G14-(G14/1.12)),0),IF(SellingPrice&gt;1919500,(G14-(G14/1.12)),0))</f>
        <v>314464.2857142859</v>
      </c>
      <c r="H15" s="17"/>
      <c r="I15" s="17">
        <f>IF(ISERROR(FIND("LOT ONLY",Model,1)),IF(SellingPrice&gt;3199200,(I14-(I14/1.12)),0),IF(SellingPrice&gt;1919500,(I14-(I14/1.12)),0))</f>
        <v>466928.5714285718</v>
      </c>
      <c r="J15" s="17"/>
      <c r="K15" s="17">
        <f>IF(ISERROR(FIND("LOT ONLY",Model,1)),IF(SellingPrice&gt;3199200,(K14-(K14/1.12)),0),IF(SellingPrice&gt;1919500,(K14-(K14/1.12)),0))</f>
        <v>536785.7142857146</v>
      </c>
      <c r="L15" s="17"/>
      <c r="M15" s="17">
        <f>IF(ISERROR(FIND("LOT ONLY",Model,1)),IF(SellingPrice&gt;3199200,(M14-(M14/1.12)),0),IF(SellingPrice&gt;1919500,(M14-(M14/1.12)),0))</f>
        <v>691178.5714285718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5" customFormat="1" ht="11.25">
      <c r="A16" s="6">
        <v>10</v>
      </c>
      <c r="B16" s="4" t="s">
        <v>109</v>
      </c>
      <c r="C16" s="4"/>
      <c r="D16" s="18"/>
      <c r="E16" s="4"/>
      <c r="F16" s="16"/>
      <c r="G16" s="18">
        <f>(G14-G15)*(PercentageDiscount/100)*(SpotDownpayment/100)</f>
        <v>26205.357142857145</v>
      </c>
      <c r="H16" s="18"/>
      <c r="I16" s="18">
        <f>(I14-I15)*(PercentageDiscount/100)*(SpotDownpayment/100)</f>
        <v>38910.71428571428</v>
      </c>
      <c r="J16" s="18"/>
      <c r="K16" s="18">
        <f>(K14-K15)*(PercentageDiscount/100)*(SpotDownpayment/100)</f>
        <v>44732.14285714286</v>
      </c>
      <c r="L16" s="18"/>
      <c r="M16" s="18">
        <f>(M14-M15)*(PercentageDiscount/100)*(SpotDownpayment/100)</f>
        <v>57598.21428571429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5" customFormat="1" ht="11.25">
      <c r="A17" s="4"/>
      <c r="B17" s="4" t="s">
        <v>16</v>
      </c>
      <c r="C17" s="4"/>
      <c r="D17" s="4"/>
      <c r="E17" s="4"/>
      <c r="F17" s="4"/>
      <c r="G17" s="18">
        <v>20000</v>
      </c>
      <c r="H17" s="18"/>
      <c r="I17" s="18">
        <v>40000</v>
      </c>
      <c r="J17" s="18"/>
      <c r="K17" s="18">
        <v>70000</v>
      </c>
      <c r="L17" s="18"/>
      <c r="M17" s="18">
        <v>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11.25" hidden="1">
      <c r="A18" s="4"/>
      <c r="B18" s="4" t="s">
        <v>17</v>
      </c>
      <c r="C18" s="4"/>
      <c r="D18" s="4"/>
      <c r="E18" s="4"/>
      <c r="F18" s="4"/>
      <c r="G18" s="18">
        <v>0</v>
      </c>
      <c r="H18" s="18"/>
      <c r="I18" s="18">
        <v>0</v>
      </c>
      <c r="J18" s="18"/>
      <c r="K18" s="18">
        <v>0</v>
      </c>
      <c r="L18" s="18"/>
      <c r="M18" s="18">
        <v>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1.25" hidden="1">
      <c r="A19" s="4"/>
      <c r="B19" s="4" t="s">
        <v>18</v>
      </c>
      <c r="C19" s="4"/>
      <c r="D19" s="4"/>
      <c r="E19" s="4"/>
      <c r="F19" s="4"/>
      <c r="G19" s="18">
        <v>0</v>
      </c>
      <c r="H19" s="18"/>
      <c r="I19" s="18">
        <v>0</v>
      </c>
      <c r="J19" s="18"/>
      <c r="K19" s="18">
        <v>0</v>
      </c>
      <c r="L19" s="18"/>
      <c r="M19" s="18">
        <v>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1.25" hidden="1">
      <c r="A20" s="4"/>
      <c r="B20" s="45" t="s">
        <v>97</v>
      </c>
      <c r="C20" s="45"/>
      <c r="D20" s="45"/>
      <c r="E20" s="4"/>
      <c r="F20" s="4"/>
      <c r="G20" s="18">
        <v>0</v>
      </c>
      <c r="H20" s="18"/>
      <c r="I20" s="18">
        <v>0</v>
      </c>
      <c r="J20" s="18"/>
      <c r="K20" s="18">
        <v>0</v>
      </c>
      <c r="L20" s="18"/>
      <c r="M20" s="18">
        <v>0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1.25" hidden="1">
      <c r="A21" s="4"/>
      <c r="B21" s="45" t="s">
        <v>98</v>
      </c>
      <c r="C21" s="45"/>
      <c r="D21" s="45"/>
      <c r="E21" s="4"/>
      <c r="F21" s="4"/>
      <c r="G21" s="18">
        <v>0</v>
      </c>
      <c r="H21" s="18"/>
      <c r="I21" s="18">
        <v>0</v>
      </c>
      <c r="J21" s="18"/>
      <c r="K21" s="18">
        <v>0</v>
      </c>
      <c r="L21" s="18"/>
      <c r="M21" s="18">
        <v>0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1.25" hidden="1">
      <c r="A22" s="4"/>
      <c r="B22" s="45" t="s">
        <v>21</v>
      </c>
      <c r="C22" s="45"/>
      <c r="D22" s="45"/>
      <c r="E22" s="4"/>
      <c r="F22" s="4"/>
      <c r="G22" s="18">
        <v>0</v>
      </c>
      <c r="H22" s="18"/>
      <c r="I22" s="18">
        <v>0</v>
      </c>
      <c r="J22" s="18"/>
      <c r="K22" s="18">
        <v>0</v>
      </c>
      <c r="L22" s="18"/>
      <c r="M22" s="18">
        <v>0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1.25" hidden="1">
      <c r="A23" s="4"/>
      <c r="B23" s="45" t="s">
        <v>22</v>
      </c>
      <c r="C23" s="45"/>
      <c r="D23" s="45"/>
      <c r="E23" s="4"/>
      <c r="F23" s="4"/>
      <c r="G23" s="18">
        <v>0</v>
      </c>
      <c r="H23" s="18"/>
      <c r="I23" s="18">
        <v>0</v>
      </c>
      <c r="J23" s="18"/>
      <c r="K23" s="18">
        <v>0</v>
      </c>
      <c r="L23" s="18"/>
      <c r="M23" s="18">
        <v>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1.25" hidden="1">
      <c r="A24" s="4"/>
      <c r="B24" s="45" t="s">
        <v>99</v>
      </c>
      <c r="C24" s="45"/>
      <c r="D24" s="45"/>
      <c r="E24" s="4"/>
      <c r="F24" s="4"/>
      <c r="G24" s="18">
        <v>0</v>
      </c>
      <c r="H24" s="18"/>
      <c r="I24" s="18">
        <v>0</v>
      </c>
      <c r="J24" s="18"/>
      <c r="K24" s="18">
        <v>0</v>
      </c>
      <c r="L24" s="18"/>
      <c r="M24" s="18">
        <v>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1.25" hidden="1">
      <c r="A25" s="4"/>
      <c r="B25" s="4" t="s">
        <v>24</v>
      </c>
      <c r="C25" s="4"/>
      <c r="D25" s="4"/>
      <c r="E25" s="4"/>
      <c r="F25" s="4"/>
      <c r="G25" s="18">
        <v>0</v>
      </c>
      <c r="H25" s="18"/>
      <c r="I25" s="18">
        <v>0</v>
      </c>
      <c r="J25" s="18"/>
      <c r="K25" s="18">
        <v>0</v>
      </c>
      <c r="L25" s="18"/>
      <c r="M25" s="18">
        <v>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1.25" hidden="1">
      <c r="A26" s="4"/>
      <c r="B26" s="4" t="s">
        <v>25</v>
      </c>
      <c r="C26" s="4"/>
      <c r="D26" s="4"/>
      <c r="E26" s="4"/>
      <c r="F26" s="4"/>
      <c r="G26" s="18">
        <v>0</v>
      </c>
      <c r="H26" s="18"/>
      <c r="I26" s="18">
        <v>0</v>
      </c>
      <c r="J26" s="18"/>
      <c r="K26" s="18">
        <v>0</v>
      </c>
      <c r="L26" s="18"/>
      <c r="M26" s="18">
        <v>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3.5" customHeight="1" thickBot="1">
      <c r="A27" s="4"/>
      <c r="B27" s="4"/>
      <c r="C27" s="4"/>
      <c r="D27" s="4"/>
      <c r="E27" s="4"/>
      <c r="F27" s="16"/>
      <c r="G27" s="19"/>
      <c r="H27" s="19"/>
      <c r="I27" s="19"/>
      <c r="J27" s="19"/>
      <c r="K27" s="19"/>
      <c r="L27" s="19"/>
      <c r="M27" s="19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3.5" customHeight="1" thickTop="1">
      <c r="A28" s="10" t="s">
        <v>26</v>
      </c>
      <c r="B28" s="20"/>
      <c r="C28" s="12"/>
      <c r="D28" s="12"/>
      <c r="E28" s="12"/>
      <c r="F28" s="13" t="s">
        <v>13</v>
      </c>
      <c r="G28" s="21">
        <f>(G14-G15)-SUM(G16:G26)</f>
        <v>2574330.357142857</v>
      </c>
      <c r="H28" s="19"/>
      <c r="I28" s="21">
        <f>(I14-I15)-SUM(I16:I26)</f>
        <v>3812160.714285714</v>
      </c>
      <c r="J28" s="19"/>
      <c r="K28" s="21">
        <f>(K14-K15)-SUM(K16:K26)</f>
        <v>4358482.142857143</v>
      </c>
      <c r="L28" s="19"/>
      <c r="M28" s="21">
        <f>(M14-M15)-SUM(M16:M26)</f>
        <v>5702223.214285714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1.25">
      <c r="A29" s="4" t="s">
        <v>27</v>
      </c>
      <c r="B29" s="4" t="s">
        <v>15</v>
      </c>
      <c r="C29" s="4"/>
      <c r="D29" s="4"/>
      <c r="E29" s="4"/>
      <c r="F29" s="4"/>
      <c r="G29" s="18">
        <f>G28*12%</f>
        <v>308919.6428571428</v>
      </c>
      <c r="H29" s="18"/>
      <c r="I29" s="18">
        <f>I28*12%</f>
        <v>457459.2857142857</v>
      </c>
      <c r="J29" s="18"/>
      <c r="K29" s="18">
        <f>K28*12%</f>
        <v>523017.8571428571</v>
      </c>
      <c r="L29" s="18"/>
      <c r="M29" s="18">
        <f>M28*12%</f>
        <v>684266.7857142856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1.25" hidden="1">
      <c r="A30" s="6">
        <v>5</v>
      </c>
      <c r="B30" s="4" t="s">
        <v>28</v>
      </c>
      <c r="C30" s="4"/>
      <c r="D30" s="4"/>
      <c r="E30" s="4"/>
      <c r="F30" s="4"/>
      <c r="G30" s="18" t="e">
        <f>ROUND(G28*(#REF!/100),2)</f>
        <v>#REF!</v>
      </c>
      <c r="H30" s="18"/>
      <c r="I30" s="18" t="e">
        <f>ROUND(I28*(B30/100),2)</f>
        <v>#VALUE!</v>
      </c>
      <c r="J30" s="18"/>
      <c r="K30" s="18">
        <f>ROUND(K28*(C30/100),2)</f>
        <v>0</v>
      </c>
      <c r="L30" s="18"/>
      <c r="M30" s="18">
        <f>ROUND(M28*(D30/100),2)</f>
        <v>0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1.25" hidden="1">
      <c r="A31" s="6"/>
      <c r="B31" s="4" t="s">
        <v>29</v>
      </c>
      <c r="C31" s="4"/>
      <c r="D31" s="4"/>
      <c r="E31" s="4"/>
      <c r="F31" s="6">
        <f>IF(G31&gt;50000,50000,G31)</f>
        <v>0</v>
      </c>
      <c r="G31" s="18">
        <v>0</v>
      </c>
      <c r="H31" s="18"/>
      <c r="I31" s="18">
        <v>0</v>
      </c>
      <c r="J31" s="18"/>
      <c r="K31" s="18">
        <v>0</v>
      </c>
      <c r="L31" s="18"/>
      <c r="M31" s="18">
        <v>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1.25" hidden="1">
      <c r="A32" s="6"/>
      <c r="B32" s="4" t="s">
        <v>30</v>
      </c>
      <c r="C32" s="4"/>
      <c r="D32" s="4"/>
      <c r="E32" s="4"/>
      <c r="F32" s="4"/>
      <c r="G32" s="18">
        <v>0</v>
      </c>
      <c r="H32" s="18"/>
      <c r="I32" s="18">
        <v>0</v>
      </c>
      <c r="J32" s="18"/>
      <c r="K32" s="18">
        <v>0</v>
      </c>
      <c r="L32" s="18"/>
      <c r="M32" s="18">
        <v>0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3.5" customHeight="1" thickBot="1">
      <c r="A33" s="6"/>
      <c r="B33" s="4" t="s">
        <v>31</v>
      </c>
      <c r="C33" s="4"/>
      <c r="D33" s="4"/>
      <c r="E33" s="4"/>
      <c r="F33" s="4"/>
      <c r="G33" s="18">
        <f>G28*5%</f>
        <v>128716.51785714284</v>
      </c>
      <c r="H33" s="18"/>
      <c r="I33" s="18">
        <f>I28*5%</f>
        <v>190608.0357142857</v>
      </c>
      <c r="J33" s="18"/>
      <c r="K33" s="18">
        <f>K28*5%</f>
        <v>217924.10714285716</v>
      </c>
      <c r="L33" s="18"/>
      <c r="M33" s="18">
        <f>M28*5%</f>
        <v>285111.1607142857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3.5" customHeight="1" thickTop="1">
      <c r="A34" s="10" t="s">
        <v>32</v>
      </c>
      <c r="B34" s="12"/>
      <c r="C34" s="12"/>
      <c r="D34" s="12"/>
      <c r="E34" s="12"/>
      <c r="F34" s="13" t="s">
        <v>13</v>
      </c>
      <c r="G34" s="21">
        <f>G28+SUM(G29,G33)</f>
        <v>3011966.5178571423</v>
      </c>
      <c r="H34" s="19"/>
      <c r="I34" s="21">
        <f>I28+SUM(I29,I33)</f>
        <v>4460228.035714285</v>
      </c>
      <c r="J34" s="19"/>
      <c r="K34" s="21">
        <f>K28+SUM(K29,K33)</f>
        <v>5099424.107142857</v>
      </c>
      <c r="L34" s="19"/>
      <c r="M34" s="21">
        <f>M28+SUM(M29,M33)</f>
        <v>6671601.1607142845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1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1.25">
      <c r="A36" s="3" t="s">
        <v>33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5" customFormat="1" ht="11.25">
      <c r="A37" s="22">
        <v>20</v>
      </c>
      <c r="B37" s="4" t="str">
        <f>CONCATENATE("Downpayment ("&amp;A37&amp;"% of Selling Price)")</f>
        <v>Downpayment (20% of Selling Price)</v>
      </c>
      <c r="C37" s="4"/>
      <c r="D37" s="4"/>
      <c r="E37" s="4"/>
      <c r="F37" s="4"/>
      <c r="G37" s="18">
        <f>ROUND((G28+G29)*(Downpayment/100),2)</f>
        <v>576650</v>
      </c>
      <c r="H37" s="18"/>
      <c r="I37" s="18">
        <f>ROUND((I28+I29)*(Downpayment/100),2)</f>
        <v>853924</v>
      </c>
      <c r="J37" s="18"/>
      <c r="K37" s="18">
        <f>ROUND((K28+K29)*(Downpayment/100),2)</f>
        <v>976300</v>
      </c>
      <c r="L37" s="18"/>
      <c r="M37" s="18">
        <f>ROUND((M28+M29)*(Downpayment/100),2)</f>
        <v>1277298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5" customFormat="1" ht="13.5" customHeight="1" thickBot="1">
      <c r="A38" s="3"/>
      <c r="B38" s="4" t="s">
        <v>34</v>
      </c>
      <c r="C38" s="4"/>
      <c r="D38" s="4"/>
      <c r="E38" s="4"/>
      <c r="F38" s="4"/>
      <c r="G38" s="18">
        <f>ROUND(G33*(Downpayment/100),2)</f>
        <v>25743.3</v>
      </c>
      <c r="H38" s="18"/>
      <c r="I38" s="18">
        <f>ROUND(I33*(Downpayment/100),2)</f>
        <v>38121.61</v>
      </c>
      <c r="J38" s="18"/>
      <c r="K38" s="18">
        <f>ROUND(K33*(Downpayment/100),2)</f>
        <v>43584.82</v>
      </c>
      <c r="L38" s="18"/>
      <c r="M38" s="18">
        <f>ROUND(M33*(Downpayment/100),2)</f>
        <v>57022.23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5" customFormat="1" ht="13.5" customHeight="1" thickTop="1">
      <c r="A39" s="10" t="s">
        <v>35</v>
      </c>
      <c r="B39" s="12"/>
      <c r="C39" s="12"/>
      <c r="D39" s="12"/>
      <c r="E39" s="12"/>
      <c r="F39" s="13" t="s">
        <v>13</v>
      </c>
      <c r="G39" s="21">
        <f>SUM(G37:G38)</f>
        <v>602393.3</v>
      </c>
      <c r="H39" s="19"/>
      <c r="I39" s="21">
        <f>SUM(I37:I38)</f>
        <v>892045.61</v>
      </c>
      <c r="J39" s="19"/>
      <c r="K39" s="21">
        <f>SUM(K37:K38)</f>
        <v>1019884.82</v>
      </c>
      <c r="L39" s="19"/>
      <c r="M39" s="21">
        <f>SUM(M37:M38)</f>
        <v>1334320.23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5" customFormat="1" ht="13.5" customHeight="1" thickBot="1">
      <c r="A40" s="4" t="s">
        <v>14</v>
      </c>
      <c r="B40" s="4" t="s">
        <v>36</v>
      </c>
      <c r="C40" s="4"/>
      <c r="D40" s="39">
        <v>41787</v>
      </c>
      <c r="E40" s="4"/>
      <c r="F40" s="23">
        <f>DATE(2014,5,28)</f>
        <v>41787</v>
      </c>
      <c r="G40" s="18">
        <v>20000</v>
      </c>
      <c r="H40" s="18"/>
      <c r="I40" s="18">
        <v>25000</v>
      </c>
      <c r="J40" s="18"/>
      <c r="K40" s="18">
        <v>25000</v>
      </c>
      <c r="L40" s="18"/>
      <c r="M40" s="18">
        <v>25000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5" customFormat="1" ht="13.5" customHeight="1" thickTop="1">
      <c r="A41" s="10" t="s">
        <v>37</v>
      </c>
      <c r="B41" s="12"/>
      <c r="C41" s="12"/>
      <c r="D41" s="12"/>
      <c r="E41" s="24"/>
      <c r="F41" s="13" t="s">
        <v>13</v>
      </c>
      <c r="G41" s="21">
        <f>G39-G40</f>
        <v>582393.3</v>
      </c>
      <c r="H41" s="19"/>
      <c r="I41" s="21">
        <f>I39-I40</f>
        <v>867045.61</v>
      </c>
      <c r="J41" s="19"/>
      <c r="K41" s="21">
        <f>K39-K40</f>
        <v>994884.82</v>
      </c>
      <c r="L41" s="19"/>
      <c r="M41" s="21">
        <f>M39-M40</f>
        <v>1309320.23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5" customFormat="1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5" customFormat="1" ht="11.25" hidden="1">
      <c r="A43" s="6">
        <v>10</v>
      </c>
      <c r="B43" s="41" t="str">
        <f>CONCATENATE("Spot Downpayment ("&amp;A43&amp;"% of Selling Price)")</f>
        <v>Spot Downpayment (10% of Selling Price)</v>
      </c>
      <c r="C43" s="4"/>
      <c r="D43" s="4"/>
      <c r="E43" s="9"/>
      <c r="F43" s="23"/>
      <c r="G43" s="18">
        <f>ROUND((SUM(G28:G29)*(SpotDownpayment/100))-G40,2)</f>
        <v>268325</v>
      </c>
      <c r="H43" s="18"/>
      <c r="I43" s="18">
        <f>ROUND((SUM(I28:I29)*(SpotDownpayment/100))-I40,2)</f>
        <v>401962</v>
      </c>
      <c r="J43" s="18"/>
      <c r="K43" s="18">
        <f>ROUND((SUM(K28:K29)*(SpotDownpayment/100))-K40,2)</f>
        <v>463150</v>
      </c>
      <c r="L43" s="18"/>
      <c r="M43" s="18">
        <f>ROUND((SUM(M28:M29)*(SpotDownpayment/100))-M40,2)</f>
        <v>613649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5" customFormat="1" ht="13.5" customHeight="1" hidden="1" thickBot="1">
      <c r="A44" s="4"/>
      <c r="B44" s="4" t="s">
        <v>28</v>
      </c>
      <c r="C44" s="4"/>
      <c r="D44" s="4"/>
      <c r="E44" s="9"/>
      <c r="F44" s="23"/>
      <c r="G44" s="18">
        <f>ROUND(G33*(SpotDownpayment/100),2)</f>
        <v>12871.65</v>
      </c>
      <c r="H44" s="18"/>
      <c r="I44" s="18">
        <f>ROUND(I33*(SpotDownpayment/100),2)</f>
        <v>19060.8</v>
      </c>
      <c r="J44" s="18"/>
      <c r="K44" s="18">
        <f>ROUND(K33*(SpotDownpayment/100),2)</f>
        <v>21792.41</v>
      </c>
      <c r="L44" s="18"/>
      <c r="M44" s="18">
        <f>ROUND(M33*(SpotDownpayment/100),2)</f>
        <v>28511.12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5" customFormat="1" ht="13.5" customHeight="1">
      <c r="A45" s="4"/>
      <c r="B45" s="97" t="s">
        <v>103</v>
      </c>
      <c r="C45" s="97"/>
      <c r="D45" s="97"/>
      <c r="E45" s="9"/>
      <c r="F45" s="23">
        <f>ReservationDate+30</f>
        <v>41817</v>
      </c>
      <c r="G45" s="44">
        <f>ROUND(SUM(G43:G44),2)</f>
        <v>281196.65</v>
      </c>
      <c r="H45" s="44"/>
      <c r="I45" s="44">
        <f>ROUND(SUM(I43:I44),2)</f>
        <v>421022.8</v>
      </c>
      <c r="J45" s="44"/>
      <c r="K45" s="44">
        <f>ROUND(SUM(K43:K44),2)</f>
        <v>484942.41</v>
      </c>
      <c r="L45" s="44"/>
      <c r="M45" s="44">
        <f>ROUND(SUM(M43:M44),2)</f>
        <v>642160.12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5" customFormat="1" ht="11.25">
      <c r="A46" s="4"/>
      <c r="B46" s="3"/>
      <c r="C46" s="4"/>
      <c r="D46" s="4"/>
      <c r="E46" s="9"/>
      <c r="F46" s="23"/>
      <c r="G46" s="26"/>
      <c r="H46" s="26"/>
      <c r="I46" s="26"/>
      <c r="J46" s="26"/>
      <c r="K46" s="26"/>
      <c r="L46" s="26"/>
      <c r="M46" s="2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5" customFormat="1" ht="11.25" hidden="1">
      <c r="A47" s="6">
        <f>A37-A43</f>
        <v>10</v>
      </c>
      <c r="B47" s="41" t="str">
        <f>CONCATENATE("Streched Downpayment ("&amp;A47&amp;"% of Selling Price)")</f>
        <v>Streched Downpayment (10% of Selling Price)</v>
      </c>
      <c r="C47" s="4"/>
      <c r="D47" s="4"/>
      <c r="E47" s="9"/>
      <c r="F47" s="23"/>
      <c r="G47" s="18">
        <f>ROUND(G37-G43-G40,2)</f>
        <v>288325</v>
      </c>
      <c r="H47" s="18"/>
      <c r="I47" s="18">
        <f>ROUND(I37-I43-I40,2)</f>
        <v>426962</v>
      </c>
      <c r="J47" s="18"/>
      <c r="K47" s="18">
        <f>ROUND(K37-K43-K40,2)</f>
        <v>488150</v>
      </c>
      <c r="L47" s="18"/>
      <c r="M47" s="18">
        <f>ROUND(M37-M43-M40,2)</f>
        <v>638649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5" customFormat="1" ht="13.5" customHeight="1" hidden="1" thickBot="1">
      <c r="A48" s="4"/>
      <c r="B48" s="4" t="s">
        <v>28</v>
      </c>
      <c r="C48" s="4"/>
      <c r="D48" s="4"/>
      <c r="E48" s="9"/>
      <c r="F48" s="23"/>
      <c r="G48" s="18">
        <f>ROUND(G38-G44,2)</f>
        <v>12871.65</v>
      </c>
      <c r="H48" s="18"/>
      <c r="I48" s="18">
        <f>ROUND(I38-I44,2)</f>
        <v>19060.81</v>
      </c>
      <c r="J48" s="18"/>
      <c r="K48" s="18">
        <f>ROUND(K38-K44,2)</f>
        <v>21792.41</v>
      </c>
      <c r="L48" s="18"/>
      <c r="M48" s="18">
        <f>ROUND(M38-M44,2)</f>
        <v>28511.11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5" customFormat="1" ht="13.5" customHeight="1" hidden="1" thickTop="1">
      <c r="A49" s="4"/>
      <c r="B49" s="42" t="s">
        <v>93</v>
      </c>
      <c r="C49" s="4"/>
      <c r="D49" s="4"/>
      <c r="E49" s="9"/>
      <c r="F49" s="23"/>
      <c r="G49" s="25">
        <f>ROUND(SUM(G47:G48),2)</f>
        <v>301196.65</v>
      </c>
      <c r="H49" s="44"/>
      <c r="I49" s="25">
        <f>ROUND(SUM(I47:I48),2)</f>
        <v>446022.81</v>
      </c>
      <c r="J49" s="44"/>
      <c r="K49" s="25">
        <f>ROUND(SUM(K47:K48),2)</f>
        <v>509942.41</v>
      </c>
      <c r="L49" s="44"/>
      <c r="M49" s="25">
        <f>ROUND(SUM(M47:M48),2)</f>
        <v>667160.11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5" customFormat="1" ht="11.25" hidden="1">
      <c r="A50" s="4"/>
      <c r="B50" s="4"/>
      <c r="C50" s="4"/>
      <c r="D50" s="4"/>
      <c r="E50" s="9"/>
      <c r="F50" s="23"/>
      <c r="G50" s="26"/>
      <c r="H50" s="26"/>
      <c r="I50" s="26"/>
      <c r="J50" s="26"/>
      <c r="K50" s="26"/>
      <c r="L50" s="26"/>
      <c r="M50" s="2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5" customFormat="1" ht="21" customHeight="1">
      <c r="A51" s="95"/>
      <c r="B51" s="95"/>
      <c r="C51" s="95"/>
      <c r="D51" s="95"/>
      <c r="E51" s="27" t="s">
        <v>40</v>
      </c>
      <c r="F51" s="28" t="s">
        <v>28</v>
      </c>
      <c r="G51" s="90" t="s">
        <v>41</v>
      </c>
      <c r="H51" s="90"/>
      <c r="I51" s="90"/>
      <c r="J51" s="90"/>
      <c r="K51" s="90"/>
      <c r="L51" s="90"/>
      <c r="M51" s="90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5" customFormat="1" ht="14.25" customHeight="1">
      <c r="A52" s="95" t="s">
        <v>110</v>
      </c>
      <c r="B52" s="95"/>
      <c r="C52" s="95"/>
      <c r="D52" s="95"/>
      <c r="E52" s="17" t="e">
        <f>ROUND(G47/A51,2)</f>
        <v>#DIV/0!</v>
      </c>
      <c r="F52" s="31" t="e">
        <f>ROUND(G48/A51,2)</f>
        <v>#DIV/0!</v>
      </c>
      <c r="G52" s="18">
        <f>G49/12</f>
        <v>25099.720833333336</v>
      </c>
      <c r="H52" s="18"/>
      <c r="I52" s="18">
        <f>I49/12</f>
        <v>37168.5675</v>
      </c>
      <c r="J52" s="18"/>
      <c r="K52" s="18">
        <f>K49/12</f>
        <v>42495.20083333333</v>
      </c>
      <c r="L52" s="18"/>
      <c r="M52" s="18">
        <f>M49/30</f>
        <v>22238.67033333333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5" customFormat="1" ht="11.25" hidden="1">
      <c r="A53" s="76" t="s">
        <v>42</v>
      </c>
      <c r="B53" s="76"/>
      <c r="C53" s="76"/>
      <c r="D53" s="30" t="str">
        <f>IF($A$51&lt;VALUE(LEFT(A53,1))," ",DATE(YEAR(D52+30),MONTH(D52+30),DAY(D52)))</f>
        <v> </v>
      </c>
      <c r="E53" s="17" t="str">
        <f aca="true" t="shared" si="0" ref="E53:E60">IF($A$51&lt;VALUE(LEFT(A53,1))," ",IF($A$51=VALUE(LEFT(A53,1)),$G$47-($E$52*($A$51-1)),E52))</f>
        <v> </v>
      </c>
      <c r="F53" s="31" t="str">
        <f aca="true" t="shared" si="1" ref="F53:F60">IF($A$51&lt;VALUE(LEFT(A53,1))," ",IF($A$51=VALUE(LEFT(A53,1)),$G$48-($F$52*($A$51-1)),F52))</f>
        <v> </v>
      </c>
      <c r="G53" s="18" t="str">
        <f>IF($A$51&lt;VALUE(LEFT(A53,1))," ",SUM(E53:F53))</f>
        <v> </v>
      </c>
      <c r="H53" s="18"/>
      <c r="I53" s="18">
        <v>22180.06</v>
      </c>
      <c r="J53" s="18"/>
      <c r="K53" s="18">
        <v>24795.93</v>
      </c>
      <c r="L53" s="18"/>
      <c r="M53" s="18">
        <v>28358.83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5" customFormat="1" ht="11.25" hidden="1">
      <c r="A54" s="76" t="s">
        <v>43</v>
      </c>
      <c r="B54" s="76"/>
      <c r="C54" s="76"/>
      <c r="D54" s="30" t="str">
        <f>IF($A$51&lt;VALUE(LEFT(A54,1))," ",DATE(YEAR(D53+30),MONTH(D53+30),DAY(D53)))</f>
        <v> </v>
      </c>
      <c r="E54" s="17" t="str">
        <f t="shared" si="0"/>
        <v> </v>
      </c>
      <c r="F54" s="31" t="str">
        <f t="shared" si="1"/>
        <v> </v>
      </c>
      <c r="G54" s="18" t="str">
        <f aca="true" t="shared" si="2" ref="G54:G60">IF($A$51&lt;VALUE(LEFT(A54,1))," ",SUM(E54:F54))</f>
        <v> </v>
      </c>
      <c r="H54" s="18"/>
      <c r="I54" s="18">
        <v>22180.06</v>
      </c>
      <c r="J54" s="18"/>
      <c r="K54" s="18">
        <v>24795.93</v>
      </c>
      <c r="L54" s="18"/>
      <c r="M54" s="18">
        <v>28358.83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5" customFormat="1" ht="11.25" hidden="1">
      <c r="A55" s="76" t="s">
        <v>44</v>
      </c>
      <c r="B55" s="76"/>
      <c r="C55" s="76"/>
      <c r="D55" s="30" t="str">
        <f aca="true" t="shared" si="3" ref="D55:D60">IF($A$51&lt;VALUE(LEFT(A55,1))," ",DATE(YEAR(D54+30),MONTH(D54+30),DAY(D54)))</f>
        <v> </v>
      </c>
      <c r="E55" s="17" t="str">
        <f t="shared" si="0"/>
        <v> </v>
      </c>
      <c r="F55" s="31" t="str">
        <f t="shared" si="1"/>
        <v> </v>
      </c>
      <c r="G55" s="18" t="str">
        <f t="shared" si="2"/>
        <v> </v>
      </c>
      <c r="H55" s="18"/>
      <c r="I55" s="18">
        <v>22180.06</v>
      </c>
      <c r="J55" s="18"/>
      <c r="K55" s="18">
        <v>24795.93</v>
      </c>
      <c r="L55" s="18"/>
      <c r="M55" s="18">
        <v>28358.83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5" customFormat="1" ht="11.25" hidden="1">
      <c r="A56" s="76" t="s">
        <v>45</v>
      </c>
      <c r="B56" s="76"/>
      <c r="C56" s="76"/>
      <c r="D56" s="30" t="str">
        <f t="shared" si="3"/>
        <v> </v>
      </c>
      <c r="E56" s="17" t="str">
        <f t="shared" si="0"/>
        <v> </v>
      </c>
      <c r="F56" s="31" t="str">
        <f t="shared" si="1"/>
        <v> </v>
      </c>
      <c r="G56" s="18" t="str">
        <f t="shared" si="2"/>
        <v> </v>
      </c>
      <c r="H56" s="18"/>
      <c r="I56" s="18">
        <v>22180.06</v>
      </c>
      <c r="J56" s="18"/>
      <c r="K56" s="18">
        <v>24795.93</v>
      </c>
      <c r="L56" s="18"/>
      <c r="M56" s="18">
        <v>28358.83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5" customFormat="1" ht="11.25" customHeight="1" hidden="1">
      <c r="A57" s="76" t="s">
        <v>46</v>
      </c>
      <c r="B57" s="76"/>
      <c r="C57" s="76"/>
      <c r="D57" s="30" t="str">
        <f t="shared" si="3"/>
        <v> </v>
      </c>
      <c r="E57" s="17" t="str">
        <f t="shared" si="0"/>
        <v> </v>
      </c>
      <c r="F57" s="31" t="str">
        <f t="shared" si="1"/>
        <v> </v>
      </c>
      <c r="G57" s="18" t="str">
        <f t="shared" si="2"/>
        <v> </v>
      </c>
      <c r="H57" s="18"/>
      <c r="I57" s="18">
        <v>22180.06</v>
      </c>
      <c r="J57" s="18"/>
      <c r="K57" s="18">
        <v>24795.93</v>
      </c>
      <c r="L57" s="18"/>
      <c r="M57" s="18">
        <v>28358.83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5" customFormat="1" ht="11.25" hidden="1">
      <c r="A58" s="76" t="s">
        <v>47</v>
      </c>
      <c r="B58" s="76"/>
      <c r="C58" s="76"/>
      <c r="D58" s="30" t="str">
        <f t="shared" si="3"/>
        <v> </v>
      </c>
      <c r="E58" s="17" t="str">
        <f t="shared" si="0"/>
        <v> </v>
      </c>
      <c r="F58" s="31" t="str">
        <f t="shared" si="1"/>
        <v> </v>
      </c>
      <c r="G58" s="18" t="str">
        <f t="shared" si="2"/>
        <v> </v>
      </c>
      <c r="H58" s="18"/>
      <c r="I58" s="18">
        <v>22180.06</v>
      </c>
      <c r="J58" s="18"/>
      <c r="K58" s="18">
        <v>24795.93</v>
      </c>
      <c r="L58" s="18"/>
      <c r="M58" s="18">
        <v>28358.83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5" customFormat="1" ht="11.25" hidden="1">
      <c r="A59" s="76" t="s">
        <v>48</v>
      </c>
      <c r="B59" s="76"/>
      <c r="C59" s="76"/>
      <c r="D59" s="30" t="str">
        <f t="shared" si="3"/>
        <v> </v>
      </c>
      <c r="E59" s="17" t="str">
        <f t="shared" si="0"/>
        <v> </v>
      </c>
      <c r="F59" s="31" t="str">
        <f t="shared" si="1"/>
        <v> </v>
      </c>
      <c r="G59" s="18" t="str">
        <f t="shared" si="2"/>
        <v> </v>
      </c>
      <c r="H59" s="18"/>
      <c r="I59" s="18">
        <v>22180.06</v>
      </c>
      <c r="J59" s="18"/>
      <c r="K59" s="18">
        <v>24795.93</v>
      </c>
      <c r="L59" s="18"/>
      <c r="M59" s="18">
        <v>28358.83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5" customFormat="1" ht="11.25" hidden="1">
      <c r="A60" s="76" t="s">
        <v>49</v>
      </c>
      <c r="B60" s="76"/>
      <c r="C60" s="76"/>
      <c r="D60" s="30" t="str">
        <f t="shared" si="3"/>
        <v> </v>
      </c>
      <c r="E60" s="17" t="str">
        <f t="shared" si="0"/>
        <v> </v>
      </c>
      <c r="F60" s="31" t="str">
        <f t="shared" si="1"/>
        <v> </v>
      </c>
      <c r="G60" s="18" t="str">
        <f t="shared" si="2"/>
        <v> </v>
      </c>
      <c r="H60" s="18"/>
      <c r="I60" s="18">
        <v>22180.06</v>
      </c>
      <c r="J60" s="18"/>
      <c r="K60" s="18">
        <v>24795.93</v>
      </c>
      <c r="L60" s="18"/>
      <c r="M60" s="18">
        <v>28358.83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5" customFormat="1" ht="11.25" hidden="1">
      <c r="A61" s="76" t="s">
        <v>50</v>
      </c>
      <c r="B61" s="76"/>
      <c r="C61" s="76"/>
      <c r="D61" s="30" t="str">
        <f>IF($A$51&lt;VALUE(LEFT(A61,2))," ",DATE(YEAR(D60+30),MONTH(D60+30),DAY(D60)))</f>
        <v> </v>
      </c>
      <c r="E61" s="17" t="str">
        <f aca="true" t="shared" si="4" ref="E61:E87">IF($A$51&lt;VALUE(LEFT(A61,2))," ",IF($A$51=VALUE(LEFT(A61,2)),$G$47-($E$52*($A$51-1)),E60))</f>
        <v> </v>
      </c>
      <c r="F61" s="31" t="str">
        <f aca="true" t="shared" si="5" ref="F61:F87">IF($A$51&lt;VALUE(LEFT(A61,2))," ",IF($A$51=VALUE(LEFT(A61,2)),$G$48-($F$52*($A$51-1)),F60))</f>
        <v> </v>
      </c>
      <c r="G61" s="18" t="str">
        <f>IF($A$51&lt;VALUE(LEFT(A61,2))," ",SUM(E61:F61))</f>
        <v> </v>
      </c>
      <c r="H61" s="18"/>
      <c r="I61" s="18">
        <v>22180.06</v>
      </c>
      <c r="J61" s="18"/>
      <c r="K61" s="18">
        <v>24795.93</v>
      </c>
      <c r="L61" s="18"/>
      <c r="M61" s="18">
        <v>28358.83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5" customFormat="1" ht="11.25" hidden="1">
      <c r="A62" s="76" t="s">
        <v>51</v>
      </c>
      <c r="B62" s="76"/>
      <c r="C62" s="76"/>
      <c r="D62" s="30" t="str">
        <f aca="true" t="shared" si="6" ref="D62:D87">IF($A$51&lt;VALUE(LEFT(A62,2))," ",DATE(YEAR(D61+30),MONTH(D61+30),DAY(D61)))</f>
        <v> </v>
      </c>
      <c r="E62" s="17" t="str">
        <f t="shared" si="4"/>
        <v> </v>
      </c>
      <c r="F62" s="31" t="str">
        <f t="shared" si="5"/>
        <v> </v>
      </c>
      <c r="G62" s="18" t="str">
        <f aca="true" t="shared" si="7" ref="G62:G87">IF($A$51&lt;VALUE(LEFT(A62,2))," ",SUM(E62:F62))</f>
        <v> </v>
      </c>
      <c r="H62" s="18"/>
      <c r="I62" s="18">
        <v>22180.06</v>
      </c>
      <c r="J62" s="18"/>
      <c r="K62" s="18">
        <v>24795.93</v>
      </c>
      <c r="L62" s="18"/>
      <c r="M62" s="18">
        <v>28358.83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5" customFormat="1" ht="11.25" hidden="1">
      <c r="A63" s="76" t="s">
        <v>52</v>
      </c>
      <c r="B63" s="76"/>
      <c r="C63" s="76"/>
      <c r="D63" s="30" t="str">
        <f t="shared" si="6"/>
        <v> </v>
      </c>
      <c r="E63" s="17" t="str">
        <f t="shared" si="4"/>
        <v> </v>
      </c>
      <c r="F63" s="31" t="str">
        <f t="shared" si="5"/>
        <v> </v>
      </c>
      <c r="G63" s="18" t="str">
        <f t="shared" si="7"/>
        <v> </v>
      </c>
      <c r="H63" s="18"/>
      <c r="I63" s="18">
        <v>22180.06</v>
      </c>
      <c r="J63" s="18"/>
      <c r="K63" s="18">
        <v>24795.93</v>
      </c>
      <c r="L63" s="18"/>
      <c r="M63" s="18">
        <v>28358.83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5" customFormat="1" ht="11.25" hidden="1">
      <c r="A64" s="76" t="s">
        <v>53</v>
      </c>
      <c r="B64" s="76"/>
      <c r="C64" s="76"/>
      <c r="D64" s="30" t="str">
        <f t="shared" si="6"/>
        <v> </v>
      </c>
      <c r="E64" s="17" t="str">
        <f t="shared" si="4"/>
        <v> </v>
      </c>
      <c r="F64" s="31" t="str">
        <f t="shared" si="5"/>
        <v> </v>
      </c>
      <c r="G64" s="18" t="str">
        <f t="shared" si="7"/>
        <v> </v>
      </c>
      <c r="H64" s="18"/>
      <c r="I64" s="18">
        <v>22180.06</v>
      </c>
      <c r="J64" s="18"/>
      <c r="K64" s="18">
        <v>24795.93</v>
      </c>
      <c r="L64" s="18"/>
      <c r="M64" s="18">
        <v>28358.83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5" customFormat="1" ht="11.25" hidden="1">
      <c r="A65" s="76" t="s">
        <v>54</v>
      </c>
      <c r="B65" s="76"/>
      <c r="C65" s="76"/>
      <c r="D65" s="30" t="str">
        <f t="shared" si="6"/>
        <v> </v>
      </c>
      <c r="E65" s="17" t="str">
        <f t="shared" si="4"/>
        <v> </v>
      </c>
      <c r="F65" s="31" t="str">
        <f t="shared" si="5"/>
        <v> </v>
      </c>
      <c r="G65" s="18" t="str">
        <f t="shared" si="7"/>
        <v> </v>
      </c>
      <c r="H65" s="18"/>
      <c r="I65" s="18">
        <v>22180.06</v>
      </c>
      <c r="J65" s="18"/>
      <c r="K65" s="18">
        <v>24795.93</v>
      </c>
      <c r="L65" s="18"/>
      <c r="M65" s="18">
        <v>28358.83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5" customFormat="1" ht="11.25" hidden="1">
      <c r="A66" s="76" t="s">
        <v>55</v>
      </c>
      <c r="B66" s="76"/>
      <c r="C66" s="76"/>
      <c r="D66" s="30" t="str">
        <f t="shared" si="6"/>
        <v> </v>
      </c>
      <c r="E66" s="17" t="str">
        <f t="shared" si="4"/>
        <v> </v>
      </c>
      <c r="F66" s="31" t="str">
        <f t="shared" si="5"/>
        <v> </v>
      </c>
      <c r="G66" s="18" t="str">
        <f t="shared" si="7"/>
        <v> </v>
      </c>
      <c r="H66" s="18"/>
      <c r="I66" s="18">
        <v>22180.06</v>
      </c>
      <c r="J66" s="18"/>
      <c r="K66" s="18">
        <v>24795.93</v>
      </c>
      <c r="L66" s="18"/>
      <c r="M66" s="18">
        <v>28358.83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5" customFormat="1" ht="11.25" hidden="1">
      <c r="A67" s="76" t="s">
        <v>56</v>
      </c>
      <c r="B67" s="76"/>
      <c r="C67" s="76"/>
      <c r="D67" s="30" t="str">
        <f t="shared" si="6"/>
        <v> </v>
      </c>
      <c r="E67" s="17" t="str">
        <f t="shared" si="4"/>
        <v> </v>
      </c>
      <c r="F67" s="31" t="str">
        <f t="shared" si="5"/>
        <v> </v>
      </c>
      <c r="G67" s="18" t="str">
        <f t="shared" si="7"/>
        <v> </v>
      </c>
      <c r="H67" s="18"/>
      <c r="I67" s="18">
        <v>22180.06</v>
      </c>
      <c r="J67" s="18"/>
      <c r="K67" s="18">
        <v>24795.93</v>
      </c>
      <c r="L67" s="18"/>
      <c r="M67" s="18">
        <v>28358.83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5" customFormat="1" ht="11.25" hidden="1">
      <c r="A68" s="76" t="s">
        <v>57</v>
      </c>
      <c r="B68" s="76"/>
      <c r="C68" s="76"/>
      <c r="D68" s="30" t="str">
        <f t="shared" si="6"/>
        <v> </v>
      </c>
      <c r="E68" s="17" t="str">
        <f t="shared" si="4"/>
        <v> </v>
      </c>
      <c r="F68" s="31" t="str">
        <f t="shared" si="5"/>
        <v> </v>
      </c>
      <c r="G68" s="18" t="str">
        <f t="shared" si="7"/>
        <v> </v>
      </c>
      <c r="H68" s="18"/>
      <c r="I68" s="18">
        <v>22180.06</v>
      </c>
      <c r="J68" s="18"/>
      <c r="K68" s="18">
        <v>24795.93</v>
      </c>
      <c r="L68" s="18"/>
      <c r="M68" s="18">
        <v>28358.83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5" customFormat="1" ht="11.25" hidden="1">
      <c r="A69" s="76" t="s">
        <v>58</v>
      </c>
      <c r="B69" s="76"/>
      <c r="C69" s="76"/>
      <c r="D69" s="30" t="str">
        <f t="shared" si="6"/>
        <v> </v>
      </c>
      <c r="E69" s="17" t="str">
        <f t="shared" si="4"/>
        <v> </v>
      </c>
      <c r="F69" s="31" t="str">
        <f t="shared" si="5"/>
        <v> </v>
      </c>
      <c r="G69" s="18" t="str">
        <f t="shared" si="7"/>
        <v> </v>
      </c>
      <c r="H69" s="18"/>
      <c r="I69" s="18">
        <v>22180.07</v>
      </c>
      <c r="J69" s="18"/>
      <c r="K69" s="18">
        <v>24795.99</v>
      </c>
      <c r="L69" s="18"/>
      <c r="M69" s="18">
        <v>28358.87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5" customFormat="1" ht="11.25" hidden="1">
      <c r="A70" s="76" t="s">
        <v>59</v>
      </c>
      <c r="B70" s="76"/>
      <c r="C70" s="76"/>
      <c r="D70" s="30" t="str">
        <f t="shared" si="6"/>
        <v> </v>
      </c>
      <c r="E70" s="17" t="str">
        <f t="shared" si="4"/>
        <v> </v>
      </c>
      <c r="F70" s="31" t="str">
        <f t="shared" si="5"/>
        <v> </v>
      </c>
      <c r="G70" s="18" t="str">
        <f t="shared" si="7"/>
        <v> </v>
      </c>
      <c r="H70" s="18"/>
      <c r="I70" s="18"/>
      <c r="J70" s="18"/>
      <c r="K70" s="18"/>
      <c r="L70" s="18"/>
      <c r="M70" s="18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5" customFormat="1" ht="11.25" hidden="1">
      <c r="A71" s="76" t="s">
        <v>60</v>
      </c>
      <c r="B71" s="76"/>
      <c r="C71" s="76"/>
      <c r="D71" s="30" t="str">
        <f t="shared" si="6"/>
        <v> </v>
      </c>
      <c r="E71" s="17" t="str">
        <f t="shared" si="4"/>
        <v> </v>
      </c>
      <c r="F71" s="31" t="str">
        <f t="shared" si="5"/>
        <v> </v>
      </c>
      <c r="G71" s="18" t="str">
        <f t="shared" si="7"/>
        <v> </v>
      </c>
      <c r="H71" s="18"/>
      <c r="I71" s="18"/>
      <c r="J71" s="18"/>
      <c r="K71" s="18"/>
      <c r="L71" s="18"/>
      <c r="M71" s="18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5" customFormat="1" ht="11.25" hidden="1">
      <c r="A72" s="76" t="s">
        <v>61</v>
      </c>
      <c r="B72" s="76"/>
      <c r="C72" s="76"/>
      <c r="D72" s="30" t="str">
        <f t="shared" si="6"/>
        <v> </v>
      </c>
      <c r="E72" s="17" t="str">
        <f t="shared" si="4"/>
        <v> </v>
      </c>
      <c r="F72" s="31" t="str">
        <f t="shared" si="5"/>
        <v> </v>
      </c>
      <c r="G72" s="18" t="str">
        <f t="shared" si="7"/>
        <v> </v>
      </c>
      <c r="H72" s="18"/>
      <c r="I72" s="18"/>
      <c r="J72" s="18"/>
      <c r="K72" s="18"/>
      <c r="L72" s="18"/>
      <c r="M72" s="18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5" customFormat="1" ht="11.25" hidden="1">
      <c r="A73" s="76" t="s">
        <v>62</v>
      </c>
      <c r="B73" s="76"/>
      <c r="C73" s="76"/>
      <c r="D73" s="30" t="str">
        <f t="shared" si="6"/>
        <v> </v>
      </c>
      <c r="E73" s="17" t="str">
        <f t="shared" si="4"/>
        <v> </v>
      </c>
      <c r="F73" s="31" t="str">
        <f t="shared" si="5"/>
        <v> </v>
      </c>
      <c r="G73" s="18" t="str">
        <f t="shared" si="7"/>
        <v> </v>
      </c>
      <c r="H73" s="18"/>
      <c r="I73" s="18"/>
      <c r="J73" s="18"/>
      <c r="K73" s="18"/>
      <c r="L73" s="18"/>
      <c r="M73" s="18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5" customFormat="1" ht="11.25" hidden="1">
      <c r="A74" s="76" t="s">
        <v>63</v>
      </c>
      <c r="B74" s="76"/>
      <c r="C74" s="76"/>
      <c r="D74" s="30" t="str">
        <f t="shared" si="6"/>
        <v> </v>
      </c>
      <c r="E74" s="17" t="str">
        <f t="shared" si="4"/>
        <v> </v>
      </c>
      <c r="F74" s="31" t="str">
        <f t="shared" si="5"/>
        <v> </v>
      </c>
      <c r="G74" s="18" t="str">
        <f t="shared" si="7"/>
        <v> </v>
      </c>
      <c r="H74" s="18"/>
      <c r="I74" s="18"/>
      <c r="J74" s="18"/>
      <c r="K74" s="18"/>
      <c r="L74" s="18"/>
      <c r="M74" s="18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5" customFormat="1" ht="11.25" hidden="1">
      <c r="A75" s="76" t="s">
        <v>64</v>
      </c>
      <c r="B75" s="76"/>
      <c r="C75" s="76"/>
      <c r="D75" s="30" t="str">
        <f t="shared" si="6"/>
        <v> </v>
      </c>
      <c r="E75" s="17" t="str">
        <f t="shared" si="4"/>
        <v> </v>
      </c>
      <c r="F75" s="31" t="str">
        <f t="shared" si="5"/>
        <v> </v>
      </c>
      <c r="G75" s="18" t="str">
        <f t="shared" si="7"/>
        <v> </v>
      </c>
      <c r="H75" s="18"/>
      <c r="I75" s="18"/>
      <c r="J75" s="18"/>
      <c r="K75" s="18"/>
      <c r="L75" s="18"/>
      <c r="M75" s="18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5" customFormat="1" ht="11.25" hidden="1">
      <c r="A76" s="76" t="s">
        <v>65</v>
      </c>
      <c r="B76" s="76"/>
      <c r="C76" s="76"/>
      <c r="D76" s="30" t="str">
        <f t="shared" si="6"/>
        <v> </v>
      </c>
      <c r="E76" s="17" t="str">
        <f t="shared" si="4"/>
        <v> </v>
      </c>
      <c r="F76" s="31" t="str">
        <f t="shared" si="5"/>
        <v> </v>
      </c>
      <c r="G76" s="18" t="str">
        <f t="shared" si="7"/>
        <v> </v>
      </c>
      <c r="H76" s="18"/>
      <c r="I76" s="18" t="e">
        <f aca="true" t="shared" si="8" ref="I76:I87">IF($A$51&lt;VALUE(LEFT(B76,2))," ",SUM(F76:G76))</f>
        <v>#VALUE!</v>
      </c>
      <c r="J76" s="18"/>
      <c r="K76" s="18" t="e">
        <f aca="true" t="shared" si="9" ref="K76:K87">IF($A$51&lt;VALUE(LEFT(C76,2))," ",SUM(G76:I76))</f>
        <v>#VALUE!</v>
      </c>
      <c r="L76" s="18"/>
      <c r="M76" s="18" t="e">
        <f aca="true" t="shared" si="10" ref="M76:M87">IF($A$51&lt;VALUE(LEFT(D76,2))," ",SUM(I76:K76))</f>
        <v>#VALUE!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5" customFormat="1" ht="11.25" hidden="1">
      <c r="A77" s="76" t="s">
        <v>66</v>
      </c>
      <c r="B77" s="76"/>
      <c r="C77" s="76"/>
      <c r="D77" s="30" t="str">
        <f t="shared" si="6"/>
        <v> </v>
      </c>
      <c r="E77" s="17" t="str">
        <f t="shared" si="4"/>
        <v> </v>
      </c>
      <c r="F77" s="31" t="str">
        <f t="shared" si="5"/>
        <v> </v>
      </c>
      <c r="G77" s="18" t="str">
        <f t="shared" si="7"/>
        <v> </v>
      </c>
      <c r="H77" s="18"/>
      <c r="I77" s="18" t="e">
        <f t="shared" si="8"/>
        <v>#VALUE!</v>
      </c>
      <c r="J77" s="18"/>
      <c r="K77" s="18" t="e">
        <f t="shared" si="9"/>
        <v>#VALUE!</v>
      </c>
      <c r="L77" s="18"/>
      <c r="M77" s="18" t="e">
        <f t="shared" si="10"/>
        <v>#VALUE!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5" customFormat="1" ht="11.25" hidden="1">
      <c r="A78" s="76" t="s">
        <v>67</v>
      </c>
      <c r="B78" s="76"/>
      <c r="C78" s="76"/>
      <c r="D78" s="30" t="str">
        <f t="shared" si="6"/>
        <v> </v>
      </c>
      <c r="E78" s="17" t="str">
        <f t="shared" si="4"/>
        <v> </v>
      </c>
      <c r="F78" s="31" t="str">
        <f t="shared" si="5"/>
        <v> </v>
      </c>
      <c r="G78" s="18" t="str">
        <f t="shared" si="7"/>
        <v> </v>
      </c>
      <c r="H78" s="18"/>
      <c r="I78" s="18" t="e">
        <f t="shared" si="8"/>
        <v>#VALUE!</v>
      </c>
      <c r="J78" s="18"/>
      <c r="K78" s="18" t="e">
        <f t="shared" si="9"/>
        <v>#VALUE!</v>
      </c>
      <c r="L78" s="18"/>
      <c r="M78" s="18" t="e">
        <f t="shared" si="10"/>
        <v>#VALUE!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5" customFormat="1" ht="11.25" hidden="1">
      <c r="A79" s="76" t="s">
        <v>68</v>
      </c>
      <c r="B79" s="76"/>
      <c r="C79" s="76"/>
      <c r="D79" s="30" t="str">
        <f t="shared" si="6"/>
        <v> </v>
      </c>
      <c r="E79" s="17" t="str">
        <f t="shared" si="4"/>
        <v> </v>
      </c>
      <c r="F79" s="31" t="str">
        <f t="shared" si="5"/>
        <v> </v>
      </c>
      <c r="G79" s="18" t="str">
        <f t="shared" si="7"/>
        <v> </v>
      </c>
      <c r="H79" s="18"/>
      <c r="I79" s="18" t="e">
        <f t="shared" si="8"/>
        <v>#VALUE!</v>
      </c>
      <c r="J79" s="18"/>
      <c r="K79" s="18" t="e">
        <f t="shared" si="9"/>
        <v>#VALUE!</v>
      </c>
      <c r="L79" s="18"/>
      <c r="M79" s="18" t="e">
        <f t="shared" si="10"/>
        <v>#VALUE!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5" customFormat="1" ht="11.25" hidden="1">
      <c r="A80" s="76" t="s">
        <v>69</v>
      </c>
      <c r="B80" s="76"/>
      <c r="C80" s="76"/>
      <c r="D80" s="30" t="str">
        <f t="shared" si="6"/>
        <v> </v>
      </c>
      <c r="E80" s="17" t="str">
        <f t="shared" si="4"/>
        <v> </v>
      </c>
      <c r="F80" s="31" t="str">
        <f t="shared" si="5"/>
        <v> </v>
      </c>
      <c r="G80" s="18" t="str">
        <f t="shared" si="7"/>
        <v> </v>
      </c>
      <c r="H80" s="18"/>
      <c r="I80" s="18" t="e">
        <f t="shared" si="8"/>
        <v>#VALUE!</v>
      </c>
      <c r="J80" s="18"/>
      <c r="K80" s="18" t="e">
        <f t="shared" si="9"/>
        <v>#VALUE!</v>
      </c>
      <c r="L80" s="18"/>
      <c r="M80" s="18" t="e">
        <f t="shared" si="10"/>
        <v>#VALUE!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5" customFormat="1" ht="11.25" hidden="1">
      <c r="A81" s="76" t="s">
        <v>70</v>
      </c>
      <c r="B81" s="76"/>
      <c r="C81" s="76"/>
      <c r="D81" s="30" t="str">
        <f t="shared" si="6"/>
        <v> </v>
      </c>
      <c r="E81" s="17" t="str">
        <f t="shared" si="4"/>
        <v> </v>
      </c>
      <c r="F81" s="31" t="str">
        <f t="shared" si="5"/>
        <v> </v>
      </c>
      <c r="G81" s="18" t="str">
        <f t="shared" si="7"/>
        <v> </v>
      </c>
      <c r="H81" s="18"/>
      <c r="I81" s="18" t="e">
        <f t="shared" si="8"/>
        <v>#VALUE!</v>
      </c>
      <c r="J81" s="18"/>
      <c r="K81" s="18" t="e">
        <f t="shared" si="9"/>
        <v>#VALUE!</v>
      </c>
      <c r="L81" s="18"/>
      <c r="M81" s="18" t="e">
        <f t="shared" si="10"/>
        <v>#VALUE!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5" customFormat="1" ht="11.25" hidden="1">
      <c r="A82" s="76" t="s">
        <v>71</v>
      </c>
      <c r="B82" s="76"/>
      <c r="C82" s="76"/>
      <c r="D82" s="30" t="str">
        <f t="shared" si="6"/>
        <v> </v>
      </c>
      <c r="E82" s="17" t="str">
        <f t="shared" si="4"/>
        <v> </v>
      </c>
      <c r="F82" s="31" t="str">
        <f t="shared" si="5"/>
        <v> </v>
      </c>
      <c r="G82" s="18" t="str">
        <f t="shared" si="7"/>
        <v> </v>
      </c>
      <c r="H82" s="18"/>
      <c r="I82" s="18" t="e">
        <f t="shared" si="8"/>
        <v>#VALUE!</v>
      </c>
      <c r="J82" s="18"/>
      <c r="K82" s="18" t="e">
        <f t="shared" si="9"/>
        <v>#VALUE!</v>
      </c>
      <c r="L82" s="18"/>
      <c r="M82" s="18" t="e">
        <f t="shared" si="10"/>
        <v>#VALUE!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5" customFormat="1" ht="11.25" hidden="1">
      <c r="A83" s="76" t="s">
        <v>72</v>
      </c>
      <c r="B83" s="76"/>
      <c r="C83" s="76"/>
      <c r="D83" s="30" t="str">
        <f t="shared" si="6"/>
        <v> </v>
      </c>
      <c r="E83" s="17" t="str">
        <f t="shared" si="4"/>
        <v> </v>
      </c>
      <c r="F83" s="31" t="str">
        <f t="shared" si="5"/>
        <v> </v>
      </c>
      <c r="G83" s="18" t="str">
        <f t="shared" si="7"/>
        <v> </v>
      </c>
      <c r="H83" s="18"/>
      <c r="I83" s="18" t="e">
        <f t="shared" si="8"/>
        <v>#VALUE!</v>
      </c>
      <c r="J83" s="18"/>
      <c r="K83" s="18" t="e">
        <f t="shared" si="9"/>
        <v>#VALUE!</v>
      </c>
      <c r="L83" s="18"/>
      <c r="M83" s="18" t="e">
        <f t="shared" si="10"/>
        <v>#VALUE!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5" customFormat="1" ht="11.25" hidden="1">
      <c r="A84" s="76" t="s">
        <v>73</v>
      </c>
      <c r="B84" s="76"/>
      <c r="C84" s="76"/>
      <c r="D84" s="30" t="str">
        <f t="shared" si="6"/>
        <v> </v>
      </c>
      <c r="E84" s="17" t="str">
        <f t="shared" si="4"/>
        <v> </v>
      </c>
      <c r="F84" s="31" t="str">
        <f t="shared" si="5"/>
        <v> </v>
      </c>
      <c r="G84" s="18" t="str">
        <f t="shared" si="7"/>
        <v> </v>
      </c>
      <c r="H84" s="18"/>
      <c r="I84" s="18" t="e">
        <f t="shared" si="8"/>
        <v>#VALUE!</v>
      </c>
      <c r="J84" s="18"/>
      <c r="K84" s="18" t="e">
        <f t="shared" si="9"/>
        <v>#VALUE!</v>
      </c>
      <c r="L84" s="18"/>
      <c r="M84" s="18" t="e">
        <f t="shared" si="10"/>
        <v>#VALUE!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5" customFormat="1" ht="11.25" hidden="1">
      <c r="A85" s="76" t="s">
        <v>74</v>
      </c>
      <c r="B85" s="76"/>
      <c r="C85" s="76"/>
      <c r="D85" s="30" t="str">
        <f t="shared" si="6"/>
        <v> </v>
      </c>
      <c r="E85" s="17" t="str">
        <f t="shared" si="4"/>
        <v> </v>
      </c>
      <c r="F85" s="31" t="str">
        <f t="shared" si="5"/>
        <v> </v>
      </c>
      <c r="G85" s="18" t="str">
        <f t="shared" si="7"/>
        <v> </v>
      </c>
      <c r="H85" s="18"/>
      <c r="I85" s="18" t="e">
        <f t="shared" si="8"/>
        <v>#VALUE!</v>
      </c>
      <c r="J85" s="18"/>
      <c r="K85" s="18" t="e">
        <f t="shared" si="9"/>
        <v>#VALUE!</v>
      </c>
      <c r="L85" s="18"/>
      <c r="M85" s="18" t="e">
        <f t="shared" si="10"/>
        <v>#VALUE!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5" customFormat="1" ht="11.25" hidden="1">
      <c r="A86" s="76" t="s">
        <v>75</v>
      </c>
      <c r="B86" s="76"/>
      <c r="C86" s="76"/>
      <c r="D86" s="30" t="str">
        <f t="shared" si="6"/>
        <v> </v>
      </c>
      <c r="E86" s="17" t="str">
        <f t="shared" si="4"/>
        <v> </v>
      </c>
      <c r="F86" s="31" t="str">
        <f t="shared" si="5"/>
        <v> </v>
      </c>
      <c r="G86" s="18" t="str">
        <f t="shared" si="7"/>
        <v> </v>
      </c>
      <c r="H86" s="18"/>
      <c r="I86" s="18" t="e">
        <f t="shared" si="8"/>
        <v>#VALUE!</v>
      </c>
      <c r="J86" s="18"/>
      <c r="K86" s="18" t="e">
        <f t="shared" si="9"/>
        <v>#VALUE!</v>
      </c>
      <c r="L86" s="18"/>
      <c r="M86" s="18" t="e">
        <f t="shared" si="10"/>
        <v>#VALUE!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s="5" customFormat="1" ht="11.25" hidden="1">
      <c r="A87" s="76" t="s">
        <v>76</v>
      </c>
      <c r="B87" s="76"/>
      <c r="C87" s="76"/>
      <c r="D87" s="30" t="str">
        <f t="shared" si="6"/>
        <v> </v>
      </c>
      <c r="E87" s="17" t="str">
        <f t="shared" si="4"/>
        <v> </v>
      </c>
      <c r="F87" s="31" t="str">
        <f t="shared" si="5"/>
        <v> </v>
      </c>
      <c r="G87" s="18" t="str">
        <f t="shared" si="7"/>
        <v> </v>
      </c>
      <c r="H87" s="18"/>
      <c r="I87" s="18" t="e">
        <f t="shared" si="8"/>
        <v>#VALUE!</v>
      </c>
      <c r="J87" s="18"/>
      <c r="K87" s="18" t="e">
        <f t="shared" si="9"/>
        <v>#VALUE!</v>
      </c>
      <c r="L87" s="18"/>
      <c r="M87" s="18" t="e">
        <f t="shared" si="10"/>
        <v>#VALUE!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s="5" customFormat="1" ht="11.25" hidden="1">
      <c r="A88" s="29"/>
      <c r="B88" s="29"/>
      <c r="C88" s="29"/>
      <c r="D88" s="30"/>
      <c r="E88" s="17"/>
      <c r="F88" s="31"/>
      <c r="G88" s="18"/>
      <c r="H88" s="18"/>
      <c r="I88" s="18"/>
      <c r="J88" s="18"/>
      <c r="K88" s="18"/>
      <c r="L88" s="18"/>
      <c r="M88" s="1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s="5" customFormat="1" ht="11.25" hidden="1">
      <c r="A89" s="29"/>
      <c r="B89" s="29"/>
      <c r="C89" s="29"/>
      <c r="D89" s="30"/>
      <c r="E89" s="17"/>
      <c r="F89" s="31"/>
      <c r="G89" s="18"/>
      <c r="H89" s="18"/>
      <c r="I89" s="18"/>
      <c r="J89" s="18"/>
      <c r="K89" s="18"/>
      <c r="L89" s="18"/>
      <c r="M89" s="18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s="5" customFormat="1" ht="11.25" hidden="1">
      <c r="A90" s="29"/>
      <c r="B90" s="29"/>
      <c r="C90" s="29"/>
      <c r="D90" s="30"/>
      <c r="E90" s="17"/>
      <c r="F90" s="31"/>
      <c r="G90" s="18"/>
      <c r="H90" s="18"/>
      <c r="I90" s="18"/>
      <c r="J90" s="18"/>
      <c r="K90" s="18"/>
      <c r="L90" s="18"/>
      <c r="M90" s="18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5" customFormat="1" ht="11.25">
      <c r="A91" s="29"/>
      <c r="B91" s="29"/>
      <c r="C91" s="29"/>
      <c r="D91" s="30"/>
      <c r="E91" s="17"/>
      <c r="F91" s="31"/>
      <c r="G91" s="18"/>
      <c r="H91" s="18"/>
      <c r="I91" s="18"/>
      <c r="J91" s="18"/>
      <c r="K91" s="18"/>
      <c r="L91" s="18"/>
      <c r="M91" s="18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5" customFormat="1" ht="11.25">
      <c r="A92" s="3" t="s">
        <v>77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s="5" customFormat="1" ht="11.25">
      <c r="A93" s="4"/>
      <c r="B93" s="4" t="s">
        <v>88</v>
      </c>
      <c r="C93" s="4"/>
      <c r="D93" s="4"/>
      <c r="E93" s="4"/>
      <c r="F93" s="32" t="e">
        <f>DATE(YEAR(MAX(D52:D86)+30),MONTH(MAX(D52:D86)+30),DAY(#REF!))</f>
        <v>#REF!</v>
      </c>
      <c r="G93" s="33">
        <f>G34*80%</f>
        <v>2409573.214285714</v>
      </c>
      <c r="H93" s="33"/>
      <c r="I93" s="33">
        <f>I34*80%</f>
        <v>3568182.4285714286</v>
      </c>
      <c r="J93" s="33"/>
      <c r="K93" s="33">
        <f>K34*80%</f>
        <v>4079539.285714286</v>
      </c>
      <c r="L93" s="33"/>
      <c r="M93" s="33">
        <f>M34*80%</f>
        <v>5337280.928571428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5" customFormat="1" ht="11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s="5" customFormat="1" ht="11.25">
      <c r="A95" s="4"/>
      <c r="B95" s="3" t="s">
        <v>92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s="5" customFormat="1" ht="11.25">
      <c r="A96" s="4"/>
      <c r="B96" s="4" t="s">
        <v>89</v>
      </c>
      <c r="C96" s="4"/>
      <c r="D96" s="4"/>
      <c r="E96" s="4"/>
      <c r="F96" s="4"/>
      <c r="G96" s="40">
        <f>G93*0.0198012</f>
        <v>47712.44113071429</v>
      </c>
      <c r="H96" s="40"/>
      <c r="I96" s="40">
        <f>I93*0.0198012</f>
        <v>70654.29390462858</v>
      </c>
      <c r="J96" s="40"/>
      <c r="K96" s="40">
        <f>K93*0.0198012</f>
        <v>80779.77330428573</v>
      </c>
      <c r="L96" s="40"/>
      <c r="M96" s="40">
        <f>M93*0.0198012</f>
        <v>105684.56712282856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s="5" customFormat="1" ht="11.25">
      <c r="A97" s="4"/>
      <c r="B97" s="4" t="s">
        <v>90</v>
      </c>
      <c r="C97" s="4"/>
      <c r="D97" s="4"/>
      <c r="E97" s="4"/>
      <c r="F97" s="4"/>
      <c r="G97" s="40">
        <f>G93*0.01266758</f>
        <v>30523.461457821424</v>
      </c>
      <c r="H97" s="40"/>
      <c r="I97" s="40">
        <f>I93*0.01266758</f>
        <v>45200.236368522856</v>
      </c>
      <c r="J97" s="40"/>
      <c r="K97" s="40">
        <f>K93*0.01266758</f>
        <v>51677.890264928574</v>
      </c>
      <c r="L97" s="40"/>
      <c r="M97" s="40">
        <f>M93*0.01266758</f>
        <v>67610.43314515286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s="5" customFormat="1" ht="11.25">
      <c r="A98" s="4"/>
      <c r="B98" s="4" t="s">
        <v>91</v>
      </c>
      <c r="C98" s="4"/>
      <c r="D98" s="4"/>
      <c r="E98" s="4"/>
      <c r="F98" s="4"/>
      <c r="G98" s="40">
        <f>G93*0.01074605</f>
        <v>25893.394239374997</v>
      </c>
      <c r="H98" s="40"/>
      <c r="I98" s="40">
        <f>I93*0.0107460512</f>
        <v>38343.87106836891</v>
      </c>
      <c r="J98" s="40"/>
      <c r="K98" s="40">
        <f>K93*0.01074605</f>
        <v>43838.93314125</v>
      </c>
      <c r="L98" s="40"/>
      <c r="M98" s="40">
        <f>M93*0.01074605</f>
        <v>57354.687722475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s="5" customFormat="1" ht="11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s="5" customFormat="1" ht="11.25">
      <c r="A100" s="3" t="s">
        <v>78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5" customFormat="1" ht="12.75">
      <c r="A101" s="4" t="s">
        <v>79</v>
      </c>
      <c r="B101" s="4"/>
      <c r="C101" s="4"/>
      <c r="D101" s="4"/>
      <c r="E101" s="4"/>
      <c r="F101" s="4"/>
      <c r="G101" s="4"/>
      <c r="H101" s="4"/>
      <c r="I101" s="4"/>
      <c r="J101" s="4"/>
      <c r="K101" s="48"/>
      <c r="L101" s="49"/>
      <c r="M101" s="49"/>
      <c r="N101" s="50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5" customFormat="1" ht="12.75">
      <c r="A102" s="4" t="s">
        <v>80</v>
      </c>
      <c r="B102" s="4"/>
      <c r="C102" s="4"/>
      <c r="D102" s="4"/>
      <c r="E102" s="4"/>
      <c r="F102" s="4"/>
      <c r="G102" s="4"/>
      <c r="H102" s="4"/>
      <c r="I102" s="4"/>
      <c r="J102" s="4"/>
      <c r="K102" s="48"/>
      <c r="L102" s="49"/>
      <c r="M102" s="49"/>
      <c r="N102" s="51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s="5" customFormat="1" ht="12.75">
      <c r="A103" s="4" t="s">
        <v>81</v>
      </c>
      <c r="B103" s="4"/>
      <c r="C103" s="4"/>
      <c r="D103" s="4"/>
      <c r="E103" s="4"/>
      <c r="F103" s="4"/>
      <c r="G103" s="4"/>
      <c r="H103" s="4"/>
      <c r="I103" s="4"/>
      <c r="J103" s="4"/>
      <c r="K103" s="48"/>
      <c r="L103" s="49"/>
      <c r="M103" s="49"/>
      <c r="N103" s="51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5" customFormat="1" ht="11.25">
      <c r="A104" s="4" t="s">
        <v>82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s="5" customFormat="1" ht="11.25">
      <c r="A105" s="77" t="s">
        <v>83</v>
      </c>
      <c r="B105" s="77"/>
      <c r="C105" s="77"/>
      <c r="D105" s="77"/>
      <c r="E105" s="77"/>
      <c r="F105" s="77"/>
      <c r="G105" s="77"/>
      <c r="H105" s="15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s="5" customFormat="1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</sheetData>
  <sheetProtection/>
  <mergeCells count="45">
    <mergeCell ref="A86:C86"/>
    <mergeCell ref="A87:C87"/>
    <mergeCell ref="A105:G105"/>
    <mergeCell ref="A80:C80"/>
    <mergeCell ref="A81:C81"/>
    <mergeCell ref="A82:C82"/>
    <mergeCell ref="A83:C83"/>
    <mergeCell ref="A84:C84"/>
    <mergeCell ref="A85:C85"/>
    <mergeCell ref="A74:C74"/>
    <mergeCell ref="A75:C75"/>
    <mergeCell ref="A76:C76"/>
    <mergeCell ref="A77:C77"/>
    <mergeCell ref="A78:C78"/>
    <mergeCell ref="A79:C79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1:D51"/>
    <mergeCell ref="G51:M51"/>
    <mergeCell ref="A52:D52"/>
    <mergeCell ref="A53:C53"/>
    <mergeCell ref="A54:C54"/>
    <mergeCell ref="A55:C55"/>
    <mergeCell ref="A2:M2"/>
    <mergeCell ref="A3:M3"/>
    <mergeCell ref="A4:M4"/>
    <mergeCell ref="A5:M5"/>
    <mergeCell ref="F7:G7"/>
    <mergeCell ref="B45:D45"/>
  </mergeCells>
  <conditionalFormatting sqref="B15 B29">
    <cfRule type="expression" priority="8" dxfId="71" stopIfTrue="1">
      <formula>G15=0</formula>
    </cfRule>
  </conditionalFormatting>
  <conditionalFormatting sqref="A53:C60">
    <cfRule type="expression" priority="9" dxfId="71" stopIfTrue="1">
      <formula>VALUE(NoDPSchedule)&lt;VALUE(LEFT(A53,1))</formula>
    </cfRule>
  </conditionalFormatting>
  <conditionalFormatting sqref="A61:C91">
    <cfRule type="expression" priority="10" dxfId="71" stopIfTrue="1">
      <formula>VALUE(NoDPSchedule)&lt;VALUE(LEFT(A61,2))</formula>
    </cfRule>
  </conditionalFormatting>
  <conditionalFormatting sqref="H15 H29">
    <cfRule type="expression" priority="11" dxfId="71" stopIfTrue="1">
      <formula>H15=0</formula>
    </cfRule>
  </conditionalFormatting>
  <conditionalFormatting sqref="I15:J15">
    <cfRule type="expression" priority="7" dxfId="71" stopIfTrue="1">
      <formula>I15=0</formula>
    </cfRule>
  </conditionalFormatting>
  <conditionalFormatting sqref="K15:L15">
    <cfRule type="expression" priority="6" dxfId="71" stopIfTrue="1">
      <formula>K15=0</formula>
    </cfRule>
  </conditionalFormatting>
  <conditionalFormatting sqref="M15">
    <cfRule type="expression" priority="5" dxfId="71" stopIfTrue="1">
      <formula>M15=0</formula>
    </cfRule>
  </conditionalFormatting>
  <conditionalFormatting sqref="K29:M29">
    <cfRule type="expression" priority="3" dxfId="71" stopIfTrue="1">
      <formula>K29=0</formula>
    </cfRule>
  </conditionalFormatting>
  <conditionalFormatting sqref="I29:J29">
    <cfRule type="expression" priority="4" dxfId="71" stopIfTrue="1">
      <formula>I29=0</formula>
    </cfRule>
  </conditionalFormatting>
  <conditionalFormatting sqref="G15">
    <cfRule type="expression" priority="2" dxfId="71" stopIfTrue="1">
      <formula>G15=0</formula>
    </cfRule>
  </conditionalFormatting>
  <conditionalFormatting sqref="G29">
    <cfRule type="expression" priority="1" dxfId="71" stopIfTrue="1">
      <formula>G29=0</formula>
    </cfRule>
  </conditionalFormatting>
  <printOptions horizontalCentered="1"/>
  <pageMargins left="0.12" right="0.2" top="0.5" bottom="0.5" header="0.5" footer="0.5"/>
  <pageSetup fitToHeight="1" fitToWidth="1" horizontalDpi="300" verticalDpi="300" orientation="landscape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zoomScalePageLayoutView="0" workbookViewId="0" topLeftCell="A1">
      <selection activeCell="N14" sqref="N14"/>
    </sheetView>
  </sheetViews>
  <sheetFormatPr defaultColWidth="12.375" defaultRowHeight="12.75" customHeight="1"/>
  <cols>
    <col min="1" max="3" width="12.375" style="1" customWidth="1"/>
    <col min="4" max="4" width="12.625" style="1" bestFit="1" customWidth="1"/>
    <col min="5" max="5" width="38.125" style="1" hidden="1" customWidth="1"/>
    <col min="6" max="6" width="0" style="1" hidden="1" customWidth="1"/>
    <col min="7" max="7" width="18.625" style="1" customWidth="1"/>
    <col min="8" max="8" width="1.625" style="1" customWidth="1"/>
    <col min="9" max="9" width="18.625" style="1" customWidth="1"/>
    <col min="10" max="10" width="1.625" style="1" customWidth="1"/>
    <col min="11" max="11" width="18.625" style="1" customWidth="1"/>
    <col min="12" max="12" width="1.625" style="1" customWidth="1"/>
    <col min="13" max="13" width="18.625" style="1" hidden="1" customWidth="1"/>
    <col min="14" max="16384" width="12.375" style="1" customWidth="1"/>
  </cols>
  <sheetData>
    <row r="1" ht="15" customHeight="1" thickBot="1">
      <c r="A1" s="46" t="s">
        <v>105</v>
      </c>
    </row>
    <row r="2" spans="1:13" ht="15.75" customHeight="1" thickTop="1">
      <c r="A2" s="78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ht="14.25" customHeight="1">
      <c r="A3" s="81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3" ht="30" customHeight="1">
      <c r="A4" s="87" t="s">
        <v>102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</row>
    <row r="5" spans="1:13" ht="13.5" customHeight="1" thickBot="1">
      <c r="A5" s="84" t="s">
        <v>108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7:13" ht="13.5" customHeight="1" thickTop="1">
      <c r="G6" s="2"/>
      <c r="H6" s="2"/>
      <c r="I6" s="2"/>
      <c r="J6" s="2"/>
      <c r="K6" s="2"/>
      <c r="L6" s="2"/>
      <c r="M6" s="2"/>
    </row>
    <row r="7" spans="1:256" s="5" customFormat="1" ht="13.5" customHeight="1">
      <c r="A7" s="7"/>
      <c r="B7" s="7"/>
      <c r="C7" s="8" t="s">
        <v>9</v>
      </c>
      <c r="D7" s="8"/>
      <c r="E7" s="4"/>
      <c r="F7" s="91" t="s">
        <v>10</v>
      </c>
      <c r="G7" s="91"/>
      <c r="H7" s="8"/>
      <c r="I7" s="34" t="s">
        <v>84</v>
      </c>
      <c r="J7" s="8"/>
      <c r="K7" s="35" t="s">
        <v>85</v>
      </c>
      <c r="L7" s="8"/>
      <c r="M7" s="36" t="s">
        <v>101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5" customFormat="1" ht="11.25">
      <c r="A8" s="7"/>
      <c r="B8" s="7"/>
      <c r="C8" s="8" t="s">
        <v>4</v>
      </c>
      <c r="D8" s="7"/>
      <c r="E8" s="4"/>
      <c r="F8" s="7"/>
      <c r="G8" s="7">
        <v>1</v>
      </c>
      <c r="H8" s="7"/>
      <c r="I8" s="7">
        <v>2</v>
      </c>
      <c r="J8" s="7"/>
      <c r="K8" s="7">
        <v>1</v>
      </c>
      <c r="L8" s="7"/>
      <c r="M8" s="7">
        <v>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5" customFormat="1" ht="11.25">
      <c r="A9" s="7"/>
      <c r="B9" s="7"/>
      <c r="C9" s="8" t="s">
        <v>5</v>
      </c>
      <c r="D9" s="7"/>
      <c r="E9" s="4"/>
      <c r="F9" s="7"/>
      <c r="G9" s="7">
        <v>1</v>
      </c>
      <c r="H9" s="7"/>
      <c r="I9" s="7">
        <v>32</v>
      </c>
      <c r="J9" s="7"/>
      <c r="K9" s="7">
        <v>7</v>
      </c>
      <c r="L9" s="7"/>
      <c r="M9" s="7">
        <v>3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5" customFormat="1" ht="11.25">
      <c r="A10" s="4"/>
      <c r="B10" s="4"/>
      <c r="C10" s="8" t="s">
        <v>6</v>
      </c>
      <c r="D10" s="4"/>
      <c r="E10" s="4"/>
      <c r="F10" s="7"/>
      <c r="G10" s="7">
        <v>5</v>
      </c>
      <c r="H10" s="7"/>
      <c r="I10" s="7">
        <v>46</v>
      </c>
      <c r="J10" s="7"/>
      <c r="K10" s="7">
        <v>15</v>
      </c>
      <c r="L10" s="7"/>
      <c r="M10" s="7">
        <v>29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5" customFormat="1" ht="12.75" customHeight="1">
      <c r="A11" s="4"/>
      <c r="B11" s="4"/>
      <c r="C11" s="8" t="s">
        <v>7</v>
      </c>
      <c r="D11" s="4"/>
      <c r="E11" s="4"/>
      <c r="F11" s="7"/>
      <c r="G11" s="7">
        <v>156</v>
      </c>
      <c r="H11" s="7"/>
      <c r="I11" s="7">
        <v>150</v>
      </c>
      <c r="J11" s="7"/>
      <c r="K11" s="7">
        <v>160</v>
      </c>
      <c r="L11" s="7"/>
      <c r="M11" s="7">
        <v>146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5" customFormat="1" ht="12.75" customHeight="1">
      <c r="A12" s="4"/>
      <c r="B12" s="4"/>
      <c r="C12" s="8" t="s">
        <v>8</v>
      </c>
      <c r="D12" s="4"/>
      <c r="E12" s="4"/>
      <c r="F12" s="7"/>
      <c r="G12" s="7" t="s">
        <v>11</v>
      </c>
      <c r="H12" s="7"/>
      <c r="I12" s="7">
        <v>53</v>
      </c>
      <c r="J12" s="7"/>
      <c r="K12" s="7">
        <v>69</v>
      </c>
      <c r="L12" s="7"/>
      <c r="M12" s="7">
        <v>88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5" customFormat="1" ht="12.75" customHeight="1">
      <c r="A13" s="4"/>
      <c r="B13" s="4"/>
      <c r="C13" s="4"/>
      <c r="D13" s="47"/>
      <c r="E13" s="4"/>
      <c r="F13" s="7"/>
      <c r="G13" s="7"/>
      <c r="H13" s="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5" customFormat="1" ht="11.25">
      <c r="A14" s="10" t="s">
        <v>12</v>
      </c>
      <c r="B14" s="10"/>
      <c r="C14" s="11"/>
      <c r="D14" s="12"/>
      <c r="E14" s="12"/>
      <c r="F14" s="13" t="s">
        <v>13</v>
      </c>
      <c r="G14" s="14">
        <v>2935000</v>
      </c>
      <c r="H14" s="43"/>
      <c r="I14" s="14">
        <v>4358000</v>
      </c>
      <c r="J14" s="43"/>
      <c r="K14" s="14">
        <v>5010000</v>
      </c>
      <c r="L14" s="43"/>
      <c r="M14" s="14">
        <v>6451000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5" customFormat="1" ht="11.25">
      <c r="A15" s="4" t="s">
        <v>14</v>
      </c>
      <c r="B15" s="4" t="s">
        <v>15</v>
      </c>
      <c r="C15" s="15"/>
      <c r="D15" s="18"/>
      <c r="E15" s="4"/>
      <c r="F15" s="16"/>
      <c r="G15" s="17">
        <f>IF(ISERROR(FIND("LOT ONLY",Model,1)),IF(SellingPrice&gt;3199200,(G14-(G14/1.12)),0),IF(SellingPrice&gt;1919500,(G14-(G14/1.12)),0))</f>
        <v>314464.2857142859</v>
      </c>
      <c r="H15" s="17"/>
      <c r="I15" s="17">
        <f>IF(ISERROR(FIND("LOT ONLY",Model,1)),IF(SellingPrice&gt;3199200,(I14-(I14/1.12)),0),IF(SellingPrice&gt;1919500,(I14-(I14/1.12)),0))</f>
        <v>466928.5714285718</v>
      </c>
      <c r="J15" s="17"/>
      <c r="K15" s="17">
        <f>IF(ISERROR(FIND("LOT ONLY",Model,1)),IF(SellingPrice&gt;3199200,(K14-(K14/1.12)),0),IF(SellingPrice&gt;1919500,(K14-(K14/1.12)),0))</f>
        <v>536785.7142857146</v>
      </c>
      <c r="L15" s="17"/>
      <c r="M15" s="17">
        <f>IF(ISERROR(FIND("LOT ONLY",Model,1)),IF(SellingPrice&gt;3199200,(M14-(M14/1.12)),0),IF(SellingPrice&gt;1919500,(M14-(M14/1.12)),0))</f>
        <v>691178.5714285718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5" customFormat="1" ht="11.25" hidden="1">
      <c r="A16" s="6">
        <v>0</v>
      </c>
      <c r="B16" s="4" t="s">
        <v>106</v>
      </c>
      <c r="C16" s="4"/>
      <c r="D16" s="18"/>
      <c r="E16" s="4"/>
      <c r="F16" s="16"/>
      <c r="G16" s="18">
        <f>(G14-G15)*(PercentageDiscount/100)*(SpotDownpayment/100)</f>
        <v>0</v>
      </c>
      <c r="H16" s="18"/>
      <c r="I16" s="18">
        <f>(I14-I15)*(PercentageDiscount/100)*(SpotDownpayment/100)</f>
        <v>0</v>
      </c>
      <c r="J16" s="18"/>
      <c r="K16" s="18">
        <f>(K14-K15)*(PercentageDiscount/100)*(SpotDownpayment/100)</f>
        <v>0</v>
      </c>
      <c r="L16" s="18"/>
      <c r="M16" s="18">
        <f>(M14-M15)*(PercentageDiscount/100)*(SpotDownpayment/100)</f>
        <v>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5" customFormat="1" ht="11.25">
      <c r="A17" s="4"/>
      <c r="B17" s="4" t="s">
        <v>16</v>
      </c>
      <c r="C17" s="4"/>
      <c r="D17" s="4"/>
      <c r="E17" s="4"/>
      <c r="F17" s="4"/>
      <c r="G17" s="18">
        <v>20000</v>
      </c>
      <c r="H17" s="18"/>
      <c r="I17" s="18">
        <v>40000</v>
      </c>
      <c r="J17" s="18"/>
      <c r="K17" s="18">
        <v>70000</v>
      </c>
      <c r="L17" s="18"/>
      <c r="M17" s="18">
        <v>70000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11.25" hidden="1">
      <c r="A18" s="4"/>
      <c r="B18" s="4" t="s">
        <v>17</v>
      </c>
      <c r="C18" s="4"/>
      <c r="D18" s="4"/>
      <c r="E18" s="4"/>
      <c r="F18" s="4"/>
      <c r="G18" s="18">
        <v>0</v>
      </c>
      <c r="H18" s="18"/>
      <c r="I18" s="18">
        <v>0</v>
      </c>
      <c r="J18" s="18"/>
      <c r="K18" s="18">
        <v>0</v>
      </c>
      <c r="L18" s="18"/>
      <c r="M18" s="18">
        <v>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1.25" hidden="1">
      <c r="A19" s="4"/>
      <c r="B19" s="4" t="s">
        <v>18</v>
      </c>
      <c r="C19" s="4"/>
      <c r="D19" s="4"/>
      <c r="E19" s="4"/>
      <c r="F19" s="4"/>
      <c r="G19" s="18">
        <v>0</v>
      </c>
      <c r="H19" s="18"/>
      <c r="I19" s="18">
        <v>0</v>
      </c>
      <c r="J19" s="18"/>
      <c r="K19" s="18">
        <v>0</v>
      </c>
      <c r="L19" s="18"/>
      <c r="M19" s="18">
        <v>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1.25" hidden="1">
      <c r="A20" s="4"/>
      <c r="B20" s="45" t="s">
        <v>97</v>
      </c>
      <c r="C20" s="45"/>
      <c r="D20" s="45"/>
      <c r="E20" s="4"/>
      <c r="F20" s="4"/>
      <c r="G20" s="18">
        <v>0</v>
      </c>
      <c r="H20" s="18"/>
      <c r="I20" s="18">
        <v>0</v>
      </c>
      <c r="J20" s="18"/>
      <c r="K20" s="18">
        <v>0</v>
      </c>
      <c r="L20" s="18"/>
      <c r="M20" s="18">
        <v>0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1.25" hidden="1">
      <c r="A21" s="4"/>
      <c r="B21" s="45" t="s">
        <v>98</v>
      </c>
      <c r="C21" s="45"/>
      <c r="D21" s="45"/>
      <c r="E21" s="4"/>
      <c r="F21" s="4"/>
      <c r="G21" s="18">
        <v>0</v>
      </c>
      <c r="H21" s="18"/>
      <c r="I21" s="18">
        <v>0</v>
      </c>
      <c r="J21" s="18"/>
      <c r="K21" s="18">
        <v>0</v>
      </c>
      <c r="L21" s="18"/>
      <c r="M21" s="18">
        <v>0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1.25" hidden="1">
      <c r="A22" s="4"/>
      <c r="B22" s="45" t="s">
        <v>21</v>
      </c>
      <c r="C22" s="45"/>
      <c r="D22" s="45"/>
      <c r="E22" s="4"/>
      <c r="F22" s="4"/>
      <c r="G22" s="18">
        <v>0</v>
      </c>
      <c r="H22" s="18"/>
      <c r="I22" s="18">
        <v>0</v>
      </c>
      <c r="J22" s="18"/>
      <c r="K22" s="18">
        <v>0</v>
      </c>
      <c r="L22" s="18"/>
      <c r="M22" s="18">
        <v>0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1.25" hidden="1">
      <c r="A23" s="4"/>
      <c r="B23" s="45" t="s">
        <v>22</v>
      </c>
      <c r="C23" s="45"/>
      <c r="D23" s="45"/>
      <c r="E23" s="4"/>
      <c r="F23" s="4"/>
      <c r="G23" s="18">
        <v>0</v>
      </c>
      <c r="H23" s="18"/>
      <c r="I23" s="18">
        <v>0</v>
      </c>
      <c r="J23" s="18"/>
      <c r="K23" s="18">
        <v>0</v>
      </c>
      <c r="L23" s="18"/>
      <c r="M23" s="18">
        <v>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1.25" hidden="1">
      <c r="A24" s="4"/>
      <c r="B24" s="45" t="s">
        <v>99</v>
      </c>
      <c r="C24" s="45"/>
      <c r="D24" s="45"/>
      <c r="E24" s="4"/>
      <c r="F24" s="4"/>
      <c r="G24" s="18">
        <v>0</v>
      </c>
      <c r="H24" s="18"/>
      <c r="I24" s="18">
        <v>0</v>
      </c>
      <c r="J24" s="18"/>
      <c r="K24" s="18">
        <v>0</v>
      </c>
      <c r="L24" s="18"/>
      <c r="M24" s="18">
        <v>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1.25" hidden="1">
      <c r="A25" s="4"/>
      <c r="B25" s="4" t="s">
        <v>24</v>
      </c>
      <c r="C25" s="4"/>
      <c r="D25" s="4"/>
      <c r="E25" s="4"/>
      <c r="F25" s="4"/>
      <c r="G25" s="18">
        <v>0</v>
      </c>
      <c r="H25" s="18"/>
      <c r="I25" s="18">
        <v>0</v>
      </c>
      <c r="J25" s="18"/>
      <c r="K25" s="18">
        <v>0</v>
      </c>
      <c r="L25" s="18"/>
      <c r="M25" s="18">
        <v>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1.25" hidden="1">
      <c r="A26" s="4"/>
      <c r="B26" s="4" t="s">
        <v>25</v>
      </c>
      <c r="C26" s="4"/>
      <c r="D26" s="4"/>
      <c r="E26" s="4"/>
      <c r="F26" s="4"/>
      <c r="G26" s="18">
        <v>0</v>
      </c>
      <c r="H26" s="18"/>
      <c r="I26" s="18">
        <v>0</v>
      </c>
      <c r="J26" s="18"/>
      <c r="K26" s="18">
        <v>0</v>
      </c>
      <c r="L26" s="18"/>
      <c r="M26" s="18">
        <v>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3.5" customHeight="1" thickBot="1">
      <c r="A27" s="4"/>
      <c r="B27" s="4"/>
      <c r="C27" s="4"/>
      <c r="D27" s="4"/>
      <c r="E27" s="4"/>
      <c r="F27" s="16"/>
      <c r="G27" s="19"/>
      <c r="H27" s="19"/>
      <c r="I27" s="19"/>
      <c r="J27" s="19"/>
      <c r="K27" s="19"/>
      <c r="L27" s="19"/>
      <c r="M27" s="19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3.5" customHeight="1" thickTop="1">
      <c r="A28" s="10" t="s">
        <v>26</v>
      </c>
      <c r="B28" s="20"/>
      <c r="C28" s="12"/>
      <c r="D28" s="12"/>
      <c r="E28" s="12"/>
      <c r="F28" s="13" t="s">
        <v>13</v>
      </c>
      <c r="G28" s="21">
        <f>(G14-G15)-SUM(G16:G26)</f>
        <v>2600535.714285714</v>
      </c>
      <c r="H28" s="19"/>
      <c r="I28" s="21">
        <f>(I14-I15)-SUM(I16:I26)</f>
        <v>3851071.428571428</v>
      </c>
      <c r="J28" s="19"/>
      <c r="K28" s="21">
        <f>(K14-K15)-SUM(K16:K26)</f>
        <v>4403214.285714285</v>
      </c>
      <c r="L28" s="19"/>
      <c r="M28" s="21">
        <f>(M14-M15)-SUM(M16:M26)</f>
        <v>5689821.428571428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1.25">
      <c r="A29" s="4" t="s">
        <v>27</v>
      </c>
      <c r="B29" s="4" t="s">
        <v>15</v>
      </c>
      <c r="C29" s="4"/>
      <c r="D29" s="4"/>
      <c r="E29" s="4"/>
      <c r="F29" s="4"/>
      <c r="G29" s="18">
        <f>G28*12%</f>
        <v>312064.2857142857</v>
      </c>
      <c r="H29" s="18"/>
      <c r="I29" s="18">
        <f>I28*12%</f>
        <v>462128.57142857136</v>
      </c>
      <c r="J29" s="18"/>
      <c r="K29" s="18">
        <f>K28*12%</f>
        <v>528385.7142857142</v>
      </c>
      <c r="L29" s="18"/>
      <c r="M29" s="18">
        <f>M28*12%</f>
        <v>682778.5714285714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1.25" hidden="1">
      <c r="A30" s="6">
        <v>5</v>
      </c>
      <c r="B30" s="4" t="s">
        <v>28</v>
      </c>
      <c r="C30" s="4"/>
      <c r="D30" s="4"/>
      <c r="E30" s="4"/>
      <c r="F30" s="4"/>
      <c r="G30" s="18" t="e">
        <f>ROUND(G28*(#REF!/100),2)</f>
        <v>#REF!</v>
      </c>
      <c r="H30" s="18"/>
      <c r="I30" s="18" t="e">
        <f>ROUND(I28*(B30/100),2)</f>
        <v>#VALUE!</v>
      </c>
      <c r="J30" s="18"/>
      <c r="K30" s="18">
        <f>ROUND(K28*(C30/100),2)</f>
        <v>0</v>
      </c>
      <c r="L30" s="18"/>
      <c r="M30" s="18">
        <f>ROUND(M28*(D30/100),2)</f>
        <v>0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1.25" hidden="1">
      <c r="A31" s="6"/>
      <c r="B31" s="4" t="s">
        <v>29</v>
      </c>
      <c r="C31" s="4"/>
      <c r="D31" s="4"/>
      <c r="E31" s="4"/>
      <c r="F31" s="6">
        <f>IF(G31&gt;50000,50000,G31)</f>
        <v>0</v>
      </c>
      <c r="G31" s="18">
        <v>0</v>
      </c>
      <c r="H31" s="18"/>
      <c r="I31" s="18">
        <v>0</v>
      </c>
      <c r="J31" s="18"/>
      <c r="K31" s="18">
        <v>0</v>
      </c>
      <c r="L31" s="18"/>
      <c r="M31" s="18">
        <v>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1.25" hidden="1">
      <c r="A32" s="6"/>
      <c r="B32" s="4" t="s">
        <v>30</v>
      </c>
      <c r="C32" s="4"/>
      <c r="D32" s="4"/>
      <c r="E32" s="4"/>
      <c r="F32" s="4"/>
      <c r="G32" s="18">
        <v>0</v>
      </c>
      <c r="H32" s="18"/>
      <c r="I32" s="18">
        <v>0</v>
      </c>
      <c r="J32" s="18"/>
      <c r="K32" s="18">
        <v>0</v>
      </c>
      <c r="L32" s="18"/>
      <c r="M32" s="18">
        <v>0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3.5" customHeight="1" thickBot="1">
      <c r="A33" s="6"/>
      <c r="B33" s="4" t="s">
        <v>31</v>
      </c>
      <c r="C33" s="4"/>
      <c r="D33" s="4"/>
      <c r="E33" s="4"/>
      <c r="F33" s="4"/>
      <c r="G33" s="18">
        <f>G28*5%</f>
        <v>130026.78571428571</v>
      </c>
      <c r="H33" s="18"/>
      <c r="I33" s="18">
        <f>I28*5%</f>
        <v>192553.57142857142</v>
      </c>
      <c r="J33" s="18"/>
      <c r="K33" s="18">
        <f>K28*5%</f>
        <v>220160.7142857143</v>
      </c>
      <c r="L33" s="18"/>
      <c r="M33" s="18">
        <f>M28*5%</f>
        <v>284491.0714285714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3.5" customHeight="1" thickTop="1">
      <c r="A34" s="10" t="s">
        <v>32</v>
      </c>
      <c r="B34" s="12"/>
      <c r="C34" s="12"/>
      <c r="D34" s="12"/>
      <c r="E34" s="12"/>
      <c r="F34" s="13" t="s">
        <v>13</v>
      </c>
      <c r="G34" s="21">
        <f>G28+SUM(G29,G33)</f>
        <v>3042626.7857142854</v>
      </c>
      <c r="H34" s="19"/>
      <c r="I34" s="21">
        <f>I28+SUM(I29,I33)</f>
        <v>4505753.571428571</v>
      </c>
      <c r="J34" s="19"/>
      <c r="K34" s="21">
        <f>K28+SUM(K29,K33)</f>
        <v>5151760.714285714</v>
      </c>
      <c r="L34" s="19"/>
      <c r="M34" s="21">
        <f>M28+SUM(M29,M33)</f>
        <v>6657091.071428571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1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1.25">
      <c r="A36" s="3" t="s">
        <v>33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5" customFormat="1" ht="11.25">
      <c r="A37" s="22">
        <v>20</v>
      </c>
      <c r="B37" s="4" t="str">
        <f>CONCATENATE("Downpayment ("&amp;A37&amp;"% of Selling Price)")</f>
        <v>Downpayment (20% of Selling Price)</v>
      </c>
      <c r="C37" s="4"/>
      <c r="D37" s="4"/>
      <c r="E37" s="4"/>
      <c r="F37" s="4"/>
      <c r="G37" s="18">
        <f>ROUND((G28+G29)*(Downpayment/100),2)</f>
        <v>582520</v>
      </c>
      <c r="H37" s="18"/>
      <c r="I37" s="18">
        <f>ROUND((I28+I29)*(Downpayment/100),2)</f>
        <v>862640</v>
      </c>
      <c r="J37" s="18"/>
      <c r="K37" s="18">
        <f>ROUND((K28+K29)*(Downpayment/100),2)</f>
        <v>986320</v>
      </c>
      <c r="L37" s="18"/>
      <c r="M37" s="18">
        <f>ROUND((M28+M29)*(Downpayment/100),2)</f>
        <v>1274520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5" customFormat="1" ht="13.5" customHeight="1" thickBot="1">
      <c r="A38" s="3"/>
      <c r="B38" s="4" t="s">
        <v>34</v>
      </c>
      <c r="C38" s="4"/>
      <c r="D38" s="4"/>
      <c r="E38" s="4"/>
      <c r="F38" s="4"/>
      <c r="G38" s="18">
        <f>ROUND(G33*(Downpayment/100),2)</f>
        <v>26005.36</v>
      </c>
      <c r="H38" s="18"/>
      <c r="I38" s="18">
        <f>ROUND(I33*(Downpayment/100),2)</f>
        <v>38510.71</v>
      </c>
      <c r="J38" s="18"/>
      <c r="K38" s="18">
        <f>ROUND(K33*(Downpayment/100),2)</f>
        <v>44032.14</v>
      </c>
      <c r="L38" s="18"/>
      <c r="M38" s="18">
        <f>ROUND(M33*(Downpayment/100),2)</f>
        <v>56898.21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5" customFormat="1" ht="13.5" customHeight="1" thickTop="1">
      <c r="A39" s="10" t="s">
        <v>35</v>
      </c>
      <c r="B39" s="12"/>
      <c r="C39" s="12"/>
      <c r="D39" s="12"/>
      <c r="E39" s="12"/>
      <c r="F39" s="13" t="s">
        <v>13</v>
      </c>
      <c r="G39" s="21">
        <f>SUM(G37:G38)</f>
        <v>608525.36</v>
      </c>
      <c r="H39" s="19"/>
      <c r="I39" s="21">
        <f>SUM(I37:I38)</f>
        <v>901150.71</v>
      </c>
      <c r="J39" s="19"/>
      <c r="K39" s="21">
        <f>SUM(K37:K38)</f>
        <v>1030352.14</v>
      </c>
      <c r="L39" s="19"/>
      <c r="M39" s="21">
        <f>SUM(M37:M38)</f>
        <v>1331418.21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5" customFormat="1" ht="13.5" customHeight="1" thickBot="1">
      <c r="A40" s="4" t="s">
        <v>14</v>
      </c>
      <c r="B40" s="4" t="s">
        <v>36</v>
      </c>
      <c r="C40" s="4"/>
      <c r="D40" s="39">
        <v>41787</v>
      </c>
      <c r="E40" s="4"/>
      <c r="F40" s="23">
        <f>DATE(2014,5,28)</f>
        <v>41787</v>
      </c>
      <c r="G40" s="18">
        <v>20000</v>
      </c>
      <c r="H40" s="18"/>
      <c r="I40" s="18">
        <v>25000</v>
      </c>
      <c r="J40" s="18"/>
      <c r="K40" s="18">
        <v>25000</v>
      </c>
      <c r="L40" s="18"/>
      <c r="M40" s="18">
        <v>25000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5" customFormat="1" ht="13.5" customHeight="1" thickTop="1">
      <c r="A41" s="10" t="s">
        <v>37</v>
      </c>
      <c r="B41" s="12"/>
      <c r="C41" s="12"/>
      <c r="D41" s="12"/>
      <c r="E41" s="24"/>
      <c r="F41" s="13" t="s">
        <v>13</v>
      </c>
      <c r="G41" s="21">
        <f>G39-G40</f>
        <v>588525.36</v>
      </c>
      <c r="H41" s="19"/>
      <c r="I41" s="21">
        <f>I39-I40</f>
        <v>876150.71</v>
      </c>
      <c r="J41" s="19"/>
      <c r="K41" s="21">
        <f>K39-K40</f>
        <v>1005352.14</v>
      </c>
      <c r="L41" s="19"/>
      <c r="M41" s="21">
        <f>M39-M40</f>
        <v>1306418.21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5" customFormat="1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5" customFormat="1" ht="11.25" hidden="1">
      <c r="A43" s="6">
        <v>10</v>
      </c>
      <c r="B43" s="41" t="str">
        <f>CONCATENATE("Spot Downpayment ("&amp;A43&amp;"% of Selling Price)")</f>
        <v>Spot Downpayment (10% of Selling Price)</v>
      </c>
      <c r="C43" s="4"/>
      <c r="D43" s="4"/>
      <c r="E43" s="9"/>
      <c r="F43" s="23"/>
      <c r="G43" s="18">
        <f>ROUND((SUM(G28:G29)*(A43/100))-G40,2)</f>
        <v>271260</v>
      </c>
      <c r="H43" s="18"/>
      <c r="I43" s="18">
        <f>ROUND((SUM(I28:I29)*(SpotDownpayment/100))-I40,2)</f>
        <v>406320</v>
      </c>
      <c r="J43" s="18"/>
      <c r="K43" s="18">
        <f>ROUND((SUM(K28:K29)*(SpotDownpayment/100))-K40,2)</f>
        <v>468160</v>
      </c>
      <c r="L43" s="18"/>
      <c r="M43" s="18">
        <f>ROUND((SUM(M28:M29)*(SpotDownpayment/100))-M40,2)</f>
        <v>612260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5" customFormat="1" ht="13.5" customHeight="1" hidden="1" thickBot="1">
      <c r="A44" s="4"/>
      <c r="B44" s="4" t="s">
        <v>28</v>
      </c>
      <c r="C44" s="4"/>
      <c r="D44" s="4"/>
      <c r="E44" s="9"/>
      <c r="F44" s="23"/>
      <c r="G44" s="18">
        <f>ROUND(G33*(A43/100),2)</f>
        <v>13002.68</v>
      </c>
      <c r="H44" s="18"/>
      <c r="I44" s="18">
        <f>ROUND(I33*(SpotDownpayment/100),2)</f>
        <v>19255.36</v>
      </c>
      <c r="J44" s="18"/>
      <c r="K44" s="18">
        <f>ROUND(K33*(SpotDownpayment/100),2)</f>
        <v>22016.07</v>
      </c>
      <c r="L44" s="18"/>
      <c r="M44" s="18">
        <f>ROUND(M33*(SpotDownpayment/100),2)</f>
        <v>28449.11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5" customFormat="1" ht="25.5" customHeight="1">
      <c r="A45" s="4"/>
      <c r="B45" s="97"/>
      <c r="C45" s="97"/>
      <c r="D45" s="97"/>
      <c r="E45" s="9"/>
      <c r="F45" s="23"/>
      <c r="G45" s="90" t="s">
        <v>104</v>
      </c>
      <c r="H45" s="90"/>
      <c r="I45" s="90"/>
      <c r="J45" s="90"/>
      <c r="K45" s="90"/>
      <c r="L45" s="90"/>
      <c r="M45" s="90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5" customFormat="1" ht="11.25">
      <c r="A46" s="95" t="s">
        <v>107</v>
      </c>
      <c r="B46" s="95"/>
      <c r="C46" s="95"/>
      <c r="D46" s="95"/>
      <c r="E46" s="9"/>
      <c r="F46" s="23"/>
      <c r="G46" s="19">
        <f>G43/30</f>
        <v>9042</v>
      </c>
      <c r="H46" s="3"/>
      <c r="I46" s="19">
        <f>I43/12</f>
        <v>33860</v>
      </c>
      <c r="J46" s="3"/>
      <c r="K46" s="19">
        <f>K43/12</f>
        <v>39013.333333333336</v>
      </c>
      <c r="L46" s="3"/>
      <c r="M46" s="19">
        <f>M43/12</f>
        <v>51021.666666666664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5" customFormat="1" ht="11.25" hidden="1">
      <c r="A47" s="6"/>
      <c r="B47" s="41"/>
      <c r="C47" s="4"/>
      <c r="D47" s="4"/>
      <c r="E47" s="9"/>
      <c r="F47" s="23"/>
      <c r="G47" s="18"/>
      <c r="H47" s="18"/>
      <c r="I47" s="18"/>
      <c r="J47" s="18"/>
      <c r="K47" s="18"/>
      <c r="L47" s="18"/>
      <c r="M47" s="18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5" customFormat="1" ht="11.25" hidden="1">
      <c r="A48" s="4"/>
      <c r="B48" s="4"/>
      <c r="C48" s="4"/>
      <c r="D48" s="4"/>
      <c r="E48" s="9"/>
      <c r="F48" s="23"/>
      <c r="G48" s="18"/>
      <c r="H48" s="18"/>
      <c r="I48" s="18"/>
      <c r="J48" s="18"/>
      <c r="K48" s="18"/>
      <c r="L48" s="18"/>
      <c r="M48" s="18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5" customFormat="1" ht="12" hidden="1" thickTop="1">
      <c r="A49" s="4"/>
      <c r="B49" s="42"/>
      <c r="C49" s="4"/>
      <c r="D49" s="4"/>
      <c r="E49" s="9"/>
      <c r="F49" s="23"/>
      <c r="G49" s="25"/>
      <c r="H49" s="44"/>
      <c r="I49" s="25"/>
      <c r="J49" s="44"/>
      <c r="K49" s="25"/>
      <c r="L49" s="44"/>
      <c r="M49" s="2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5" customFormat="1" ht="11.25" hidden="1">
      <c r="A50" s="4"/>
      <c r="B50" s="4"/>
      <c r="C50" s="4"/>
      <c r="D50" s="4"/>
      <c r="E50" s="9"/>
      <c r="F50" s="23"/>
      <c r="G50" s="26"/>
      <c r="H50" s="26"/>
      <c r="I50" s="26"/>
      <c r="J50" s="26"/>
      <c r="K50" s="26"/>
      <c r="L50" s="26"/>
      <c r="M50" s="2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5" customFormat="1" ht="11.25">
      <c r="A51" s="27"/>
      <c r="B51" s="92"/>
      <c r="C51" s="92"/>
      <c r="D51" s="92"/>
      <c r="E51" s="27"/>
      <c r="F51" s="28"/>
      <c r="G51" s="90"/>
      <c r="H51" s="90"/>
      <c r="I51" s="90"/>
      <c r="J51" s="90"/>
      <c r="K51" s="90"/>
      <c r="L51" s="90"/>
      <c r="M51" s="90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5" customFormat="1" ht="11.25">
      <c r="A52" s="3" t="s">
        <v>77</v>
      </c>
      <c r="B52" s="4"/>
      <c r="C52" s="4"/>
      <c r="D52" s="38"/>
      <c r="E52" s="17"/>
      <c r="F52" s="31"/>
      <c r="G52" s="18"/>
      <c r="H52" s="18"/>
      <c r="I52" s="18"/>
      <c r="J52" s="18"/>
      <c r="K52" s="18"/>
      <c r="L52" s="18"/>
      <c r="M52" s="1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5" customFormat="1" ht="11.25" customHeight="1">
      <c r="A53" s="4"/>
      <c r="B53" s="4" t="s">
        <v>88</v>
      </c>
      <c r="C53" s="4"/>
      <c r="D53" s="30"/>
      <c r="E53" s="17"/>
      <c r="F53" s="31"/>
      <c r="G53" s="53">
        <f>G34/80%</f>
        <v>3803283.482142857</v>
      </c>
      <c r="H53" s="33"/>
      <c r="I53" s="53">
        <f>I34/80%</f>
        <v>5632191.964285714</v>
      </c>
      <c r="J53" s="33"/>
      <c r="K53" s="53">
        <f>K34/80%</f>
        <v>6439700.892857142</v>
      </c>
      <c r="L53" s="33"/>
      <c r="M53" s="53">
        <f>M34/80%</f>
        <v>8321363.839285714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5" customFormat="1" ht="11.25">
      <c r="A54" s="29"/>
      <c r="B54" s="29"/>
      <c r="C54" s="29"/>
      <c r="D54" s="30"/>
      <c r="E54" s="17"/>
      <c r="F54" s="31"/>
      <c r="G54" s="18"/>
      <c r="H54" s="18"/>
      <c r="I54" s="18"/>
      <c r="J54" s="18"/>
      <c r="K54" s="18"/>
      <c r="L54" s="18"/>
      <c r="M54" s="1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5" customFormat="1" ht="11.25">
      <c r="A55" s="29"/>
      <c r="B55" s="3" t="s">
        <v>92</v>
      </c>
      <c r="C55" s="29"/>
      <c r="D55" s="30"/>
      <c r="E55" s="17"/>
      <c r="F55" s="31"/>
      <c r="G55" s="18"/>
      <c r="H55" s="18"/>
      <c r="I55" s="18"/>
      <c r="J55" s="18"/>
      <c r="K55" s="18"/>
      <c r="L55" s="18"/>
      <c r="M55" s="1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5" customFormat="1" ht="11.25">
      <c r="A56" s="29"/>
      <c r="B56" s="4" t="s">
        <v>89</v>
      </c>
      <c r="C56" s="29"/>
      <c r="D56" s="30"/>
      <c r="E56" s="17"/>
      <c r="F56" s="31"/>
      <c r="G56" s="52">
        <f>G53*0.0198012</f>
        <v>75309.57688660714</v>
      </c>
      <c r="H56" s="18"/>
      <c r="I56" s="52">
        <f>I53*0.0198012</f>
        <v>111524.15952321429</v>
      </c>
      <c r="J56" s="52"/>
      <c r="K56" s="52">
        <f>K53*0.0198012</f>
        <v>127513.80531964285</v>
      </c>
      <c r="L56" s="52"/>
      <c r="M56" s="52">
        <f>M53*0.0198012</f>
        <v>164772.9896544643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5" customFormat="1" ht="11.25">
      <c r="A57" s="29"/>
      <c r="B57" s="4" t="s">
        <v>90</v>
      </c>
      <c r="C57" s="29"/>
      <c r="D57" s="30"/>
      <c r="E57" s="17"/>
      <c r="F57" s="31"/>
      <c r="G57" s="52">
        <f>G53*0.01266758</f>
        <v>48178.397772723205</v>
      </c>
      <c r="H57" s="18"/>
      <c r="I57" s="52">
        <f>I53*0.01266758</f>
        <v>71346.24228294642</v>
      </c>
      <c r="J57" s="52"/>
      <c r="K57" s="52">
        <f>K53*0.01266758</f>
        <v>81575.42623633926</v>
      </c>
      <c r="L57" s="52"/>
      <c r="M57" s="52">
        <f>M53*0.01266758</f>
        <v>105411.54214325892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5" customFormat="1" ht="11.25">
      <c r="A58" s="3"/>
      <c r="B58" s="4" t="s">
        <v>91</v>
      </c>
      <c r="C58" s="4"/>
      <c r="D58" s="4"/>
      <c r="E58" s="4"/>
      <c r="F58" s="4"/>
      <c r="G58" s="52">
        <f>G53*0.01074605</f>
        <v>40870.27446328125</v>
      </c>
      <c r="H58" s="4"/>
      <c r="I58" s="52">
        <f>I53*0.01074605</f>
        <v>60523.81645781249</v>
      </c>
      <c r="J58" s="52"/>
      <c r="K58" s="52">
        <f>K53*0.01074605</f>
        <v>69201.3477796875</v>
      </c>
      <c r="L58" s="52"/>
      <c r="M58" s="52">
        <f>M53*0.01074605</f>
        <v>89421.79188515624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5" customFormat="1" ht="11.25">
      <c r="A59" s="4"/>
      <c r="B59" s="4"/>
      <c r="C59" s="4"/>
      <c r="D59" s="4"/>
      <c r="E59" s="4"/>
      <c r="F59" s="32"/>
      <c r="G59" s="33"/>
      <c r="H59" s="33"/>
      <c r="I59" s="33"/>
      <c r="J59" s="33"/>
      <c r="K59" s="33"/>
      <c r="L59" s="33"/>
      <c r="M59" s="33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5" customFormat="1" ht="11.25">
      <c r="A60" s="3" t="s">
        <v>78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5" customFormat="1" ht="12.75">
      <c r="A61" s="4" t="s">
        <v>79</v>
      </c>
      <c r="B61" s="4"/>
      <c r="C61" s="4"/>
      <c r="D61" s="4"/>
      <c r="E61" s="4"/>
      <c r="F61" s="4"/>
      <c r="G61" s="4"/>
      <c r="H61" s="4"/>
      <c r="I61" s="4"/>
      <c r="J61" s="4"/>
      <c r="K61" s="48"/>
      <c r="L61" s="49"/>
      <c r="M61" s="49"/>
      <c r="N61" s="50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5" customFormat="1" ht="12.75">
      <c r="A62" s="4" t="s">
        <v>80</v>
      </c>
      <c r="B62" s="4"/>
      <c r="C62" s="4"/>
      <c r="D62" s="4"/>
      <c r="E62" s="4"/>
      <c r="F62" s="4"/>
      <c r="G62" s="4"/>
      <c r="H62" s="4"/>
      <c r="I62" s="4"/>
      <c r="J62" s="4"/>
      <c r="K62" s="48"/>
      <c r="L62" s="49"/>
      <c r="M62" s="49"/>
      <c r="N62" s="51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5" customFormat="1" ht="12.75">
      <c r="A63" s="4" t="s">
        <v>81</v>
      </c>
      <c r="B63" s="4"/>
      <c r="C63" s="4"/>
      <c r="D63" s="4"/>
      <c r="E63" s="4"/>
      <c r="F63" s="4"/>
      <c r="G63" s="4"/>
      <c r="H63" s="4"/>
      <c r="I63" s="4"/>
      <c r="J63" s="4"/>
      <c r="K63" s="48"/>
      <c r="L63" s="49"/>
      <c r="M63" s="49"/>
      <c r="N63" s="51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5" customFormat="1" ht="11.25">
      <c r="A64" s="4" t="s">
        <v>82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5" customFormat="1" ht="11.25">
      <c r="A65" s="77" t="s">
        <v>83</v>
      </c>
      <c r="B65" s="77"/>
      <c r="C65" s="77"/>
      <c r="D65" s="77"/>
      <c r="E65" s="77"/>
      <c r="F65" s="77"/>
      <c r="G65" s="77"/>
      <c r="H65" s="1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5" customFormat="1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</sheetData>
  <sheetProtection/>
  <mergeCells count="11">
    <mergeCell ref="A46:D46"/>
    <mergeCell ref="B51:D51"/>
    <mergeCell ref="G51:M51"/>
    <mergeCell ref="A65:G65"/>
    <mergeCell ref="A2:M2"/>
    <mergeCell ref="A3:M3"/>
    <mergeCell ref="A4:M4"/>
    <mergeCell ref="A5:M5"/>
    <mergeCell ref="F7:G7"/>
    <mergeCell ref="B45:D45"/>
    <mergeCell ref="G45:M45"/>
  </mergeCells>
  <conditionalFormatting sqref="B15 B29">
    <cfRule type="expression" priority="8" dxfId="71" stopIfTrue="1">
      <formula>G15=0</formula>
    </cfRule>
  </conditionalFormatting>
  <conditionalFormatting sqref="A54:C54 A55:A57 C55:C57">
    <cfRule type="expression" priority="9" dxfId="71" stopIfTrue="1">
      <formula>VALUE(NoDPSchedule)&lt;VALUE(LEFT(A54,2))</formula>
    </cfRule>
  </conditionalFormatting>
  <conditionalFormatting sqref="H15 H29">
    <cfRule type="expression" priority="10" dxfId="71" stopIfTrue="1">
      <formula>H15=0</formula>
    </cfRule>
  </conditionalFormatting>
  <conditionalFormatting sqref="I15:J15">
    <cfRule type="expression" priority="7" dxfId="71" stopIfTrue="1">
      <formula>I15=0</formula>
    </cfRule>
  </conditionalFormatting>
  <conditionalFormatting sqref="K15:L15">
    <cfRule type="expression" priority="6" dxfId="71" stopIfTrue="1">
      <formula>K15=0</formula>
    </cfRule>
  </conditionalFormatting>
  <conditionalFormatting sqref="M15">
    <cfRule type="expression" priority="5" dxfId="71" stopIfTrue="1">
      <formula>M15=0</formula>
    </cfRule>
  </conditionalFormatting>
  <conditionalFormatting sqref="I29:J29">
    <cfRule type="expression" priority="4" dxfId="71" stopIfTrue="1">
      <formula>I29=0</formula>
    </cfRule>
  </conditionalFormatting>
  <conditionalFormatting sqref="K29:M29">
    <cfRule type="expression" priority="3" dxfId="71" stopIfTrue="1">
      <formula>K29=0</formula>
    </cfRule>
  </conditionalFormatting>
  <conditionalFormatting sqref="G15">
    <cfRule type="expression" priority="2" dxfId="71" stopIfTrue="1">
      <formula>G15=0</formula>
    </cfRule>
  </conditionalFormatting>
  <conditionalFormatting sqref="G29">
    <cfRule type="expression" priority="1" dxfId="71" stopIfTrue="1">
      <formula>G29=0</formula>
    </cfRule>
  </conditionalFormatting>
  <printOptions horizontalCentered="1"/>
  <pageMargins left="0.12" right="0.2" top="0.5" bottom="0.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javier.marvin</dc:creator>
  <cp:keywords/>
  <dc:description/>
  <cp:lastModifiedBy>AVIDA Baldovino, Dhiana R.</cp:lastModifiedBy>
  <cp:lastPrinted>2020-01-07T00:46:01Z</cp:lastPrinted>
  <dcterms:created xsi:type="dcterms:W3CDTF">2011-05-09T02:17:33Z</dcterms:created>
  <dcterms:modified xsi:type="dcterms:W3CDTF">2020-01-08T05:39:37Z</dcterms:modified>
  <cp:category/>
  <cp:version/>
  <cp:contentType/>
  <cp:contentStatus/>
</cp:coreProperties>
</file>